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<sst xmlns="http://schemas.openxmlformats.org/spreadsheetml/2006/main" count="2238" uniqueCount="299">
  <si>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</si>
  <si>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</si>
  <si>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</si>
  <si>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</si>
  <si>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</si>
  <si>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</si>
  <si>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</si>
  <si>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</si>
  <si>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</si>
  <si>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</si>
  <si>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</si>
  <si>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</si>
  <si>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</si>
  <si>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</si>
  <si>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</si>
  <si>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</si>
  <si>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</si>
  <si>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</si>
  <si>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</si>
  <si>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</si>
  <si>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</si>
  <si>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</si>
  <si>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</si>
  <si>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</si>
  <si>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</si>
  <si>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</si>
  <si>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</si>
  <si>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</si>
  <si>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</si>
  <si>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</si>
  <si>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</si>
  <si>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</si>
  <si>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</si>
  <si>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</si>
  <si>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</si>
  <si>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</si>
  <si>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</si>
  <si>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</si>
  <si>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</si>
  <si>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</si>
  <si>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</si>
  <si>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</si>
  <si>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</si>
  <si>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</si>
  <si>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</si>
  <si>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</si>
  <si>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</si>
  <si>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</si>
  <si>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</si>
  <si>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</si>
  <si>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</si>
  <si>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</si>
  <si>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</si>
  <si>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</si>
  <si>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</si>
  <si>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</si>
  <si>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</si>
  <si>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</si>
  <si>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</si>
  <si>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</si>
  <si>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</si>
  <si>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</si>
  <si>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</si>
  <si>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</si>
  <si>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</si>
  <si>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</si>
  <si>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</si>
  <si>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</si>
  <si>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</si>
  <si>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</si>
  <si>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</si>
  <si>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</si>
  <si>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</si>
  <si>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</si>
  <si>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</si>
  <si>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</si>
  <si>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</si>
  <si>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</si>
  <si>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</si>
  <si>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</si>
  <si>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</si>
  <si>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</si>
  <si>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</si>
  <si>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</si>
  <si>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</si>
  <si>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</si>
  <si>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</si>
  <si>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</si>
  <si>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</si>
  <si>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</si>
  <si>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</si>
  <si>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</si>
  <si>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</si>
  <si>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</si>
  <si>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</si>
  <si>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</si>
  <si>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</si>
  <si>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</si>
  <si>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</si>
  <si>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</si>
  <si>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</si>
  <si>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</si>
  <si>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</si>
  <si>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</si>
  <si>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</si>
  <si>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</si>
  <si>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</si>
  <si>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</si>
  <si>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</si>
  <si>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</si>
  <si>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</si>
  <si>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</si>
  <si>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</si>
  <si>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</si>
  <si>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</si>
  <si>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</si>
  <si>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</si>
  <si>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</si>
  <si>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</si>
  <si>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</si>
  <si>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</si>
  <si>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</si>
  <si>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</si>
  <si>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</si>
  <si>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</si>
  <si>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</si>
  <si>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</si>
  <si>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</si>
  <si>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</si>
  <si>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</si>
  <si>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</si>
  <si>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</si>
  <si>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</si>
  <si>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</si>
  <si>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</si>
  <si>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</si>
  <si>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</si>
  <si>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</si>
  <si>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</si>
  <si>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</si>
  <si>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</si>
  <si>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</si>
  <si>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</si>
  <si>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</si>
  <si>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</si>
  <si>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</si>
  <si>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</si>
  <si>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</si>
  <si>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</si>
  <si>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</si>
  <si>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</si>
  <si>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</si>
  <si>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</si>
  <si>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</si>
  <si>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</si>
  <si>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</si>
  <si>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</si>
  <si>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</si>
  <si>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</si>
  <si>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</si>
  <si>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</si>
  <si>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</si>
  <si>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</si>
  <si>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</si>
  <si>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</si>
  <si>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</si>
  <si>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</si>
  <si>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</si>
  <si>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</si>
  <si>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</si>
  <si>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</si>
  <si>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</si>
  <si>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</si>
  <si>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</si>
  <si>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</si>
  <si>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</si>
  <si>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</si>
  <si>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</si>
  <si>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</si>
  <si>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</si>
  <si>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</si>
  <si>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</si>
  <si>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</si>
  <si>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</si>
  <si>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</si>
  <si>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</si>
  <si>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</si>
  <si>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</si>
  <si>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</si>
  <si>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</si>
  <si>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</si>
  <si>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</si>
  <si>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</si>
  <si>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</si>
  <si>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</si>
  <si>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</si>
  <si>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</si>
  <si>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</si>
  <si>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</si>
  <si>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</si>
  <si>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</si>
  <si>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</si>
  <si>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</si>
  <si>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</si>
  <si>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</si>
  <si>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</si>
  <si>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</si>
  <si>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</si>
  <si>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</si>
  <si>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</si>
  <si>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</si>
  <si>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</si>
  <si>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</si>
  <si>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</si>
  <si>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</si>
  <si>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</si>
  <si>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</si>
  <si>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</si>
  <si>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</si>
  <si>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</si>
  <si>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</si>
  <si>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</si>
  <si>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</si>
  <si>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</si>
  <si>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</si>
  <si>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</si>
  <si>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</si>
  <si>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</si>
  <si>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</si>
  <si>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</si>
  <si>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</si>
  <si>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</si>
  <si>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</si>
  <si>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</si>
  <si>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</si>
  <si>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</si>
  <si>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</si>
  <si>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</si>
  <si>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</si>
  <si>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</si>
  <si>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</si>
  <si>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</si>
  <si>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</si>
  <si>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</si>
  <si>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</si>
  <si>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</si>
  <si>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</si>
  <si>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</si>
  <si>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</si>
  <si>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</si>
  <si>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</si>
  <si>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</si>
  <si>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</si>
  <si>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</si>
  <si>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</si>
  <si>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</si>
  <si>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</si>
  <si>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</si>
  <si>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</si>
  <si>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</si>
  <si>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</si>
  <si>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</si>
  <si>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</si>
  <si>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</si>
  <si>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</si>
  <si>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</si>
  <si>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</si>
  <si>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</si>
  <si>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</si>
  <si>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</si>
  <si>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</si>
  <si>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</si>
  <si>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</si>
  <si>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</si>
  <si>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</si>
  <si>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</si>
  <si>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</si>
  <si>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</si>
  <si>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</si>
  <si>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</si>
  <si>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</si>
  <si>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</si>
  <si>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</si>
  <si>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</si>
  <si>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</si>
  <si>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</si>
  <si>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</si>
  <si>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</si>
  <si>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</si>
  <si>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</si>
  <si>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січень-листопад</t>
  </si>
  <si>
    <t>Відхилення до плану на січень-листопад</t>
  </si>
  <si>
    <t>Динаміка  фактичних надходжень січень-листопад 2013 та 2014 років</t>
  </si>
  <si>
    <t>на листопад  місяць</t>
  </si>
  <si>
    <t>Виконано у листопаді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</si>
  <si>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(січень-жовтень)</t>
    </r>
  </si>
  <si>
    <t>Динаміка  фактичних надходжень листопад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</si>
  <si>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18.11.2014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</si>
  <si>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17.11.14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</si>
</sst>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1"/>
      <sheetName val="депозит"/>
      <sheetName val="залишки  (2)"/>
      <sheetName val="надх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15875513.190000001</v>
          </cell>
        </row>
      </sheetData>
      <sheetData sheetId="23">
        <row r="28">
          <cell r="C28">
            <v>4870376.3</v>
          </cell>
        </row>
      </sheetData>
      <sheetData sheetId="24">
        <row r="28">
          <cell r="C28">
            <v>3219411</v>
          </cell>
        </row>
      </sheetData>
      <sheetData sheetId="25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45" sqref="G145:H145"/>
    </sheetView>
  </sheetViews>
  <sheetFormatPr defaultColWidth="9.00390625" defaultRowHeight="12.75"/>
  <cols>
    <col min="1" max="1" width="0.1289062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297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294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291</v>
      </c>
      <c r="H4" s="206" t="s">
        <v>280</v>
      </c>
      <c r="I4" s="202" t="s">
        <v>188</v>
      </c>
      <c r="J4" s="208" t="s">
        <v>189</v>
      </c>
      <c r="K4" s="195" t="s">
        <v>292</v>
      </c>
      <c r="L4" s="196"/>
      <c r="M4" s="216"/>
      <c r="N4" s="200" t="s">
        <v>298</v>
      </c>
      <c r="O4" s="202" t="s">
        <v>136</v>
      </c>
      <c r="P4" s="202" t="s">
        <v>135</v>
      </c>
      <c r="Q4" s="195" t="s">
        <v>296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290</v>
      </c>
      <c r="F5" s="219"/>
      <c r="G5" s="205"/>
      <c r="H5" s="207"/>
      <c r="I5" s="203"/>
      <c r="J5" s="209"/>
      <c r="K5" s="197"/>
      <c r="L5" s="198"/>
      <c r="M5" s="151" t="s">
        <v>293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431258.02999999997</v>
      </c>
      <c r="F8" s="22">
        <f>F10+F19+F33+F56+F68+F30</f>
        <v>407370.55</v>
      </c>
      <c r="G8" s="22">
        <f aca="true" t="shared" si="0" ref="G8:G30">F8-E8</f>
        <v>-23887.47999999998</v>
      </c>
      <c r="H8" s="51">
        <f>F8/E8*100</f>
        <v>94.46097734110597</v>
      </c>
      <c r="I8" s="36">
        <f aca="true" t="shared" si="1" ref="I8:I17">F8-D8</f>
        <v>-81105.75</v>
      </c>
      <c r="J8" s="36">
        <f aca="true" t="shared" si="2" ref="J8:J14">F8/D8*100</f>
        <v>83.39617500378218</v>
      </c>
      <c r="K8" s="36">
        <f>F8-421084.1</f>
        <v>-13713.549999999988</v>
      </c>
      <c r="L8" s="136">
        <f>F8/421084.1</f>
        <v>0.9674327527446418</v>
      </c>
      <c r="M8" s="22">
        <f>M10+M19+M33+M56+M68+M30</f>
        <v>40254.39000000002</v>
      </c>
      <c r="N8" s="22">
        <f>N10+N19+N33+N56+N68+N30</f>
        <v>18611.29999999999</v>
      </c>
      <c r="O8" s="36">
        <f aca="true" t="shared" si="3" ref="O8:O71">N8-M8</f>
        <v>-21643.090000000033</v>
      </c>
      <c r="P8" s="36">
        <f>F8/M8*100</f>
        <v>1011.990369249167</v>
      </c>
      <c r="Q8" s="36">
        <f>N8-39535.7</f>
        <v>-20924.40000000001</v>
      </c>
      <c r="R8" s="134">
        <f>N8/39535.7</f>
        <v>0.47074669223006016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333100.42</v>
      </c>
      <c r="G9" s="22">
        <f t="shared" si="0"/>
        <v>333100.42</v>
      </c>
      <c r="H9" s="20"/>
      <c r="I9" s="56">
        <f t="shared" si="1"/>
        <v>-53912.78000000003</v>
      </c>
      <c r="J9" s="56">
        <f t="shared" si="2"/>
        <v>86.06952424361752</v>
      </c>
      <c r="K9" s="56"/>
      <c r="L9" s="135"/>
      <c r="M9" s="20">
        <f>M10+M17</f>
        <v>32301.900000000023</v>
      </c>
      <c r="N9" s="20">
        <f>N10+N17</f>
        <v>17078.22999999998</v>
      </c>
      <c r="O9" s="36">
        <f t="shared" si="3"/>
        <v>-15223.670000000042</v>
      </c>
      <c r="P9" s="56">
        <f>F9/M9*100</f>
        <v>1031.2099907435777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352008</v>
      </c>
      <c r="F10" s="169">
        <v>333100.42</v>
      </c>
      <c r="G10" s="49">
        <f t="shared" si="0"/>
        <v>-18907.580000000016</v>
      </c>
      <c r="H10" s="40">
        <f aca="true" t="shared" si="4" ref="H10:H17">F10/E10*100</f>
        <v>94.62865048521624</v>
      </c>
      <c r="I10" s="56">
        <f t="shared" si="1"/>
        <v>-53912.78000000003</v>
      </c>
      <c r="J10" s="56">
        <f t="shared" si="2"/>
        <v>86.06952424361752</v>
      </c>
      <c r="K10" s="141">
        <f>F10-334336.4</f>
        <v>-1235.9800000000396</v>
      </c>
      <c r="L10" s="142">
        <f>F10/334336.4</f>
        <v>0.9963031844573309</v>
      </c>
      <c r="M10" s="40">
        <f>E10-жовтень!E10</f>
        <v>32301.900000000023</v>
      </c>
      <c r="N10" s="40">
        <f>F10-жовтень!F10</f>
        <v>17078.22999999998</v>
      </c>
      <c r="O10" s="53">
        <f t="shared" si="3"/>
        <v>-15223.670000000042</v>
      </c>
      <c r="P10" s="56">
        <f aca="true" t="shared" si="5" ref="P10:P17">N10/M10*100</f>
        <v>52.87066705054492</v>
      </c>
      <c r="Q10" s="141">
        <f>N10-32243.9</f>
        <v>-15165.67000000002</v>
      </c>
      <c r="R10" s="142">
        <f>N10/32243.9</f>
        <v>0.5296577026972538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E11-жовтень!E11</f>
        <v>0</v>
      </c>
      <c r="N11" s="40">
        <f>F11-жовтень!F11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E12-жовтень!E12</f>
        <v>0</v>
      </c>
      <c r="N12" s="40">
        <f>F12-жовтень!F12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E13-жовтень!E13</f>
        <v>0</v>
      </c>
      <c r="N13" s="40">
        <f>F13-жовтень!F13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E14-жовтень!E14</f>
        <v>0</v>
      </c>
      <c r="N14" s="40">
        <f>F14-жовтень!F14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E15-жовтень!E15</f>
        <v>0</v>
      </c>
      <c r="N15" s="40">
        <f>F15-жовтень!F15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E16-жовтень!E16</f>
        <v>0</v>
      </c>
      <c r="N16" s="40">
        <f>F16-жовтень!F16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E17-жовтень!E17</f>
        <v>0</v>
      </c>
      <c r="N17" s="40">
        <f>F17-жовтень!F17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E18-жовтень!E18</f>
        <v>0</v>
      </c>
      <c r="N18" s="40">
        <f>F18-жовтень!F18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1079.6</v>
      </c>
      <c r="F19" s="169">
        <v>-875.21</v>
      </c>
      <c r="G19" s="49">
        <f t="shared" si="0"/>
        <v>-1954.81</v>
      </c>
      <c r="H19" s="40">
        <f aca="true" t="shared" si="6" ref="H19:H29">F19/E19*100</f>
        <v>-81.06798814375695</v>
      </c>
      <c r="I19" s="56">
        <f aca="true" t="shared" si="7" ref="I19:I29">F19-D19</f>
        <v>-1875.21</v>
      </c>
      <c r="J19" s="56">
        <f aca="true" t="shared" si="8" ref="J19:J29">F19/D19*100</f>
        <v>-87.521</v>
      </c>
      <c r="K19" s="167">
        <f>F19-7207</f>
        <v>-8082.21</v>
      </c>
      <c r="L19" s="168">
        <f>F19/7207</f>
        <v>-0.12143887886776746</v>
      </c>
      <c r="M19" s="40">
        <f>E19-жовтень!E19</f>
        <v>12</v>
      </c>
      <c r="N19" s="40">
        <f>F19-жовтень!F19</f>
        <v>5.67999999999995</v>
      </c>
      <c r="O19" s="53">
        <f t="shared" si="3"/>
        <v>-6.32000000000005</v>
      </c>
      <c r="P19" s="56">
        <f aca="true" t="shared" si="9" ref="P19:P29">N19/M19*100</f>
        <v>47.33333333333292</v>
      </c>
      <c r="Q19" s="56">
        <f>N19-363.4</f>
        <v>-357.72</v>
      </c>
      <c r="R19" s="135">
        <f>N19/363.4</f>
        <v>0.015630159603742297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E20-жовтень!E20</f>
        <v>0</v>
      </c>
      <c r="N20" s="40">
        <f>F20-жовтень!F20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E21-жовтень!E21</f>
        <v>0</v>
      </c>
      <c r="N21" s="40">
        <f>F21-жовтень!F21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E22-жовтень!E22</f>
        <v>0</v>
      </c>
      <c r="N22" s="40">
        <f>F22-жовтень!F22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E23-жовтень!E23</f>
        <v>0</v>
      </c>
      <c r="N23" s="40">
        <f>F23-жовтень!F23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E24-жовтень!E24</f>
        <v>0</v>
      </c>
      <c r="N24" s="40">
        <f>F24-жовтень!F24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E25-жовтень!E25</f>
        <v>0</v>
      </c>
      <c r="N25" s="40">
        <f>F25-жовтень!F25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E26-жовтень!E26</f>
        <v>0</v>
      </c>
      <c r="N26" s="40">
        <f>F26-жовтень!F26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E27-жовтень!E27</f>
        <v>0</v>
      </c>
      <c r="N27" s="40">
        <f>F27-жовтень!F27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E28-жовтень!E28</f>
        <v>0</v>
      </c>
      <c r="N28" s="40">
        <f>F28-жовтень!F28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819.6</v>
      </c>
      <c r="F29" s="170">
        <v>-391.9</v>
      </c>
      <c r="G29" s="49">
        <f t="shared" si="0"/>
        <v>-1211.5</v>
      </c>
      <c r="H29" s="40">
        <f t="shared" si="6"/>
        <v>-47.81600780868716</v>
      </c>
      <c r="I29" s="56">
        <f t="shared" si="7"/>
        <v>-1321.9</v>
      </c>
      <c r="J29" s="56">
        <f t="shared" si="8"/>
        <v>-42.13978494623656</v>
      </c>
      <c r="K29" s="148">
        <f>F29-3580.01</f>
        <v>-3971.9100000000003</v>
      </c>
      <c r="L29" s="149">
        <f>F29/3580.01</f>
        <v>-0.10946896796377663</v>
      </c>
      <c r="M29" s="40">
        <f>E29-жовтень!E29</f>
        <v>12</v>
      </c>
      <c r="N29" s="40">
        <f>F29-жовтень!F29</f>
        <v>-10</v>
      </c>
      <c r="O29" s="148">
        <f t="shared" si="3"/>
        <v>-22</v>
      </c>
      <c r="P29" s="145">
        <f t="shared" si="9"/>
        <v>-83.33333333333334</v>
      </c>
      <c r="Q29" s="148">
        <f>N29-664.71</f>
        <v>-674.71</v>
      </c>
      <c r="R29" s="149">
        <f>N29/664.71</f>
        <v>-0.015044154593732604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37</v>
      </c>
      <c r="F30" s="169">
        <f>0.04+31.36</f>
        <v>31.4</v>
      </c>
      <c r="G30" s="49">
        <f t="shared" si="0"/>
        <v>-5.600000000000001</v>
      </c>
      <c r="H30" s="40"/>
      <c r="I30" s="56"/>
      <c r="J30" s="56"/>
      <c r="K30" s="56">
        <f>F30-36.9</f>
        <v>-5.5</v>
      </c>
      <c r="L30" s="149">
        <f>F30/36.9</f>
        <v>0.8509485094850948</v>
      </c>
      <c r="M30" s="40">
        <f>E30-жовтень!E30</f>
        <v>9.5</v>
      </c>
      <c r="N30" s="40">
        <f>F30-жовтень!F30</f>
        <v>28.049999999999997</v>
      </c>
      <c r="O30" s="53">
        <f t="shared" si="3"/>
        <v>18.549999999999997</v>
      </c>
      <c r="P30" s="56"/>
      <c r="Q30" s="56">
        <f>N30-11.8</f>
        <v>16.249999999999996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E31-жовтень!E31</f>
        <v>0</v>
      </c>
      <c r="N31" s="40">
        <f>F31-жовтень!F31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E32-жовтень!E32</f>
        <v>0</v>
      </c>
      <c r="N32" s="40">
        <f>F32-жовтень!F32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71913.43</v>
      </c>
      <c r="F33" s="169">
        <v>69289.91</v>
      </c>
      <c r="G33" s="49">
        <f aca="true" t="shared" si="14" ref="G33:G72">F33-E33</f>
        <v>-2623.5199999999895</v>
      </c>
      <c r="H33" s="40">
        <f aca="true" t="shared" si="15" ref="H33:H67">F33/E33*100</f>
        <v>96.35183581147501</v>
      </c>
      <c r="I33" s="56">
        <f>F33-D33</f>
        <v>-24276.089999999997</v>
      </c>
      <c r="J33" s="56">
        <f aca="true" t="shared" si="16" ref="J33:J72">F33/D33*100</f>
        <v>74.05458179253148</v>
      </c>
      <c r="K33" s="141">
        <f>F33-73845.7</f>
        <v>-4555.789999999994</v>
      </c>
      <c r="L33" s="142">
        <f>F33/73845.7</f>
        <v>0.9383066312595048</v>
      </c>
      <c r="M33" s="40">
        <f>E33-жовтень!E33</f>
        <v>7377.5899999999965</v>
      </c>
      <c r="N33" s="40">
        <f>F33-жовтень!F33</f>
        <v>1023.070000000007</v>
      </c>
      <c r="O33" s="53">
        <f t="shared" si="3"/>
        <v>-6354.5199999999895</v>
      </c>
      <c r="P33" s="56">
        <f aca="true" t="shared" si="17" ref="P33:P67">N33/M33*100</f>
        <v>13.867265597573292</v>
      </c>
      <c r="Q33" s="141">
        <f>N33-6429.9</f>
        <v>-5406.829999999993</v>
      </c>
      <c r="R33" s="142">
        <f>N33/6429.9</f>
        <v>0.15911133921211948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E34-жовтень!E34</f>
        <v>0</v>
      </c>
      <c r="N34" s="40">
        <f>F34-жовтень!F34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E35-жовтень!E35</f>
        <v>0</v>
      </c>
      <c r="N35" s="40">
        <f>F35-жовтень!F35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E36-жовтень!E36</f>
        <v>0</v>
      </c>
      <c r="N36" s="40">
        <f>F36-жовтень!F36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E37-жовтень!E37</f>
        <v>0</v>
      </c>
      <c r="N37" s="40">
        <f>F37-жовтень!F37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E38-жовтень!E38</f>
        <v>0</v>
      </c>
      <c r="N38" s="40">
        <f>F38-жовтень!F38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E39-жовтень!E39</f>
        <v>0</v>
      </c>
      <c r="N39" s="40">
        <f>F39-жовтень!F39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E40-жовтень!E40</f>
        <v>0</v>
      </c>
      <c r="N40" s="40">
        <f>F40-жовтень!F40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E41-жовтень!E41</f>
        <v>0</v>
      </c>
      <c r="N41" s="40">
        <f>F41-жовтень!F41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E42-жовтень!E42</f>
        <v>0</v>
      </c>
      <c r="N42" s="40">
        <f>F42-жовтень!F42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E43-жовтень!E43</f>
        <v>0</v>
      </c>
      <c r="N43" s="40">
        <f>F43-жовтень!F43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E44-жовтень!E44</f>
        <v>0</v>
      </c>
      <c r="N44" s="40">
        <f>F44-жовтень!F44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E45-жовтень!E45</f>
        <v>0</v>
      </c>
      <c r="N45" s="40">
        <f>F45-жовтень!F45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E46-жовтень!E46</f>
        <v>0</v>
      </c>
      <c r="N46" s="40">
        <f>F46-жовтень!F46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E47-жовтень!E47</f>
        <v>0</v>
      </c>
      <c r="N47" s="40">
        <f>F47-жовтень!F47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E48-жовтень!E48</f>
        <v>0</v>
      </c>
      <c r="N48" s="40">
        <f>F48-жовтень!F48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E49-жовтень!E49</f>
        <v>0</v>
      </c>
      <c r="N49" s="40">
        <f>F49-жовтень!F49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E50-жовтень!E50</f>
        <v>0</v>
      </c>
      <c r="N50" s="40">
        <f>F50-жовтень!F50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E51-жовтень!E51</f>
        <v>0</v>
      </c>
      <c r="N51" s="40">
        <f>F51-жовтень!F51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E52-жовтень!E52</f>
        <v>0</v>
      </c>
      <c r="N52" s="40">
        <f>F52-жовтень!F52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E53-жовтень!E53</f>
        <v>0</v>
      </c>
      <c r="N53" s="40">
        <f>F53-жовтень!F53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E54-жовтень!E54</f>
        <v>0</v>
      </c>
      <c r="N54" s="40">
        <f>F54-жовтень!F54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52848.53</v>
      </c>
      <c r="F55" s="170">
        <v>51668.35</v>
      </c>
      <c r="G55" s="144">
        <f t="shared" si="14"/>
        <v>-1180.1800000000003</v>
      </c>
      <c r="H55" s="146">
        <f t="shared" si="15"/>
        <v>97.76686314643</v>
      </c>
      <c r="I55" s="145">
        <f t="shared" si="18"/>
        <v>-18597.65</v>
      </c>
      <c r="J55" s="145">
        <f t="shared" si="16"/>
        <v>73.53250505223009</v>
      </c>
      <c r="K55" s="148">
        <f>F55-53912.95</f>
        <v>-2244.5999999999985</v>
      </c>
      <c r="L55" s="149">
        <f>F55/53912.95</f>
        <v>0.958366218134975</v>
      </c>
      <c r="M55" s="40">
        <f>E55-жовтень!E55</f>
        <v>5442.989999999998</v>
      </c>
      <c r="N55" s="40">
        <f>F55-жовтень!F55</f>
        <v>963.6999999999971</v>
      </c>
      <c r="O55" s="148">
        <f t="shared" si="3"/>
        <v>-4479.290000000001</v>
      </c>
      <c r="P55" s="148">
        <f t="shared" si="17"/>
        <v>17.70534210057335</v>
      </c>
      <c r="Q55" s="160">
        <f>N55-4756.32</f>
        <v>-3792.6200000000026</v>
      </c>
      <c r="R55" s="161">
        <f>N55/4756.32</f>
        <v>0.20261462643388106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6219.9</v>
      </c>
      <c r="F56" s="169">
        <f>1.51+5820.72</f>
        <v>5822.2300000000005</v>
      </c>
      <c r="G56" s="49">
        <f t="shared" si="14"/>
        <v>-397.66999999999916</v>
      </c>
      <c r="H56" s="40">
        <f t="shared" si="15"/>
        <v>93.60648885030307</v>
      </c>
      <c r="I56" s="56">
        <f t="shared" si="18"/>
        <v>-1037.7699999999995</v>
      </c>
      <c r="J56" s="56">
        <f t="shared" si="16"/>
        <v>84.87215743440234</v>
      </c>
      <c r="K56" s="56">
        <f>F56-6560</f>
        <v>-737.7699999999995</v>
      </c>
      <c r="L56" s="135">
        <f>F56/6560</f>
        <v>0.8875350609756099</v>
      </c>
      <c r="M56" s="40">
        <f>E56-жовтень!E56</f>
        <v>553.3999999999996</v>
      </c>
      <c r="N56" s="40">
        <f>F56-жовтень!F56</f>
        <v>476.27000000000044</v>
      </c>
      <c r="O56" s="53">
        <f t="shared" si="3"/>
        <v>-77.1299999999992</v>
      </c>
      <c r="P56" s="56">
        <f t="shared" si="17"/>
        <v>86.06252258764017</v>
      </c>
      <c r="Q56" s="56">
        <f>N56-486.5</f>
        <v>-10.229999999999563</v>
      </c>
      <c r="R56" s="135">
        <f>N56/486.5</f>
        <v>0.9789722507708128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E57-жовтень!E57</f>
        <v>0</v>
      </c>
      <c r="N57" s="40">
        <f>F57-жовтень!F57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E58-жовтень!E58</f>
        <v>0</v>
      </c>
      <c r="N58" s="40">
        <f>F58-жовтень!F58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E59-жовтень!E59</f>
        <v>0</v>
      </c>
      <c r="N59" s="40">
        <f>F59-жовтень!F59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E60-жовтень!E60</f>
        <v>0</v>
      </c>
      <c r="N60" s="40">
        <f>F60-жовтень!F60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E61-жовтень!E61</f>
        <v>0</v>
      </c>
      <c r="N61" s="40">
        <f>F61-жовтень!F61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E62-жовтень!E62</f>
        <v>0</v>
      </c>
      <c r="N62" s="40">
        <f>F62-жовтень!F62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E63-жовтень!E63</f>
        <v>0</v>
      </c>
      <c r="N63" s="40">
        <f>F63-жовтень!F63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E64-жовтень!E64</f>
        <v>0</v>
      </c>
      <c r="N64" s="40">
        <f>F64-жовтень!F64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E65-жовтень!E65</f>
        <v>0</v>
      </c>
      <c r="N65" s="40">
        <f>F65-жовтень!F65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E66-жовтень!E66</f>
        <v>0</v>
      </c>
      <c r="N66" s="40">
        <f>F66-жовтень!F66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E67-жовтень!E67</f>
        <v>0</v>
      </c>
      <c r="N67" s="40">
        <f>F67-жовтень!F67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F68-(-1.9)</f>
        <v>3.7</v>
      </c>
      <c r="L68" s="135"/>
      <c r="M68" s="40">
        <f>E68-жовтень!E68</f>
        <v>0</v>
      </c>
      <c r="N68" s="40">
        <f>F68-жовтень!F68</f>
        <v>0</v>
      </c>
      <c r="O68" s="53">
        <f t="shared" si="3"/>
        <v>0</v>
      </c>
      <c r="P68" s="56"/>
      <c r="Q68" s="56">
        <f>N68-0.2</f>
        <v>-0.2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15277</v>
      </c>
      <c r="F74" s="22">
        <f>F77+F86+F88+F89+F94+F95+F96+F97+F99+F104+F87+F103</f>
        <v>11814.51</v>
      </c>
      <c r="G74" s="50">
        <f aca="true" t="shared" si="24" ref="G74:G92">F74-E74</f>
        <v>-3462.49</v>
      </c>
      <c r="H74" s="51">
        <f aca="true" t="shared" si="25" ref="H74:H87">F74/E74*100</f>
        <v>77.33527525037638</v>
      </c>
      <c r="I74" s="36">
        <f aca="true" t="shared" si="26" ref="I74:I92">F74-D74</f>
        <v>-6543.789999999999</v>
      </c>
      <c r="J74" s="36">
        <f aca="true" t="shared" si="27" ref="J74:J92">F74/D74*100</f>
        <v>64.35514181596335</v>
      </c>
      <c r="K74" s="36">
        <f>F74-17827.8</f>
        <v>-6013.289999999999</v>
      </c>
      <c r="L74" s="136">
        <f>F74/17827.8</f>
        <v>0.6627015111230775</v>
      </c>
      <c r="M74" s="22">
        <f>M77+M86+M88+M89+M94+M95+M96+M97+M99+M87+M104</f>
        <v>1580.5</v>
      </c>
      <c r="N74" s="22">
        <f>N77+N86+N88+N89+N94+N95+N96+N97+N99+N32+N104+N87+N103</f>
        <v>1025.6000000000006</v>
      </c>
      <c r="O74" s="55">
        <f aca="true" t="shared" si="28" ref="O74:O92">N74-M74</f>
        <v>-554.8999999999994</v>
      </c>
      <c r="P74" s="36">
        <f>N74/M74*100</f>
        <v>64.8908573236318</v>
      </c>
      <c r="Q74" s="36">
        <f>N74-1502.5</f>
        <v>-476.8999999999994</v>
      </c>
      <c r="R74" s="136">
        <f>N74/1502.5</f>
        <v>0.6825956738768723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160</v>
      </c>
      <c r="F77" s="169">
        <v>145.27</v>
      </c>
      <c r="G77" s="49">
        <f t="shared" si="24"/>
        <v>-14.72999999999999</v>
      </c>
      <c r="H77" s="40">
        <f t="shared" si="25"/>
        <v>90.79375</v>
      </c>
      <c r="I77" s="56">
        <f t="shared" si="26"/>
        <v>-354.73</v>
      </c>
      <c r="J77" s="56">
        <f t="shared" si="27"/>
        <v>29.054000000000002</v>
      </c>
      <c r="K77" s="167">
        <f>F77-1728.8</f>
        <v>-1583.53</v>
      </c>
      <c r="L77" s="168">
        <f>F77/1728.8</f>
        <v>0.08402938454419251</v>
      </c>
      <c r="M77" s="40">
        <f>E77-жовтень!E77</f>
        <v>50</v>
      </c>
      <c r="N77" s="40">
        <f>F77-жовтень!F77</f>
        <v>21.820000000000007</v>
      </c>
      <c r="O77" s="53">
        <f t="shared" si="28"/>
        <v>-28.179999999999993</v>
      </c>
      <c r="P77" s="56">
        <f aca="true" t="shared" si="29" ref="P77:P87">N77/M77*100</f>
        <v>43.640000000000015</v>
      </c>
      <c r="Q77" s="56">
        <f>N77-11.1</f>
        <v>10.720000000000008</v>
      </c>
      <c r="R77" s="135">
        <f>N77/11.1</f>
        <v>1.9657657657657666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E78-жовтень!E78</f>
        <v>0</v>
      </c>
      <c r="N78" s="40">
        <f>F78-жовтень!F78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E79-жовтень!E79</f>
        <v>0</v>
      </c>
      <c r="N79" s="40">
        <f>F79-жовтень!F79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E80-жовтень!E80</f>
        <v>0</v>
      </c>
      <c r="N80" s="40">
        <f>F80-жовтень!F80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E81-жовтень!E81</f>
        <v>0</v>
      </c>
      <c r="N81" s="40">
        <f>F81-жовтень!F81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E82-жовтень!E82</f>
        <v>0</v>
      </c>
      <c r="N82" s="40">
        <f>F82-жовтень!F82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E83-жовтень!E83</f>
        <v>0</v>
      </c>
      <c r="N83" s="40">
        <f>F83-жовтень!F83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E84-жовтень!E84</f>
        <v>0</v>
      </c>
      <c r="N84" s="40">
        <f>F84-жовтень!F84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E85-жовтень!E85</f>
        <v>0</v>
      </c>
      <c r="N85" s="40">
        <f>F85-жовтень!F85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3560</v>
      </c>
      <c r="F86" s="169">
        <v>0</v>
      </c>
      <c r="G86" s="49">
        <f t="shared" si="24"/>
        <v>-3560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F86-3572.4</f>
        <v>-3572.4</v>
      </c>
      <c r="L86" s="168"/>
      <c r="M86" s="40">
        <f>E86-жовтень!E86</f>
        <v>480</v>
      </c>
      <c r="N86" s="40">
        <f>F86-жовтень!F86</f>
        <v>0</v>
      </c>
      <c r="O86" s="53">
        <f t="shared" si="28"/>
        <v>-480</v>
      </c>
      <c r="P86" s="56">
        <f t="shared" si="29"/>
        <v>0</v>
      </c>
      <c r="Q86" s="56">
        <f>N86-467.1</f>
        <v>-467.1</v>
      </c>
      <c r="R86" s="135">
        <f>N86/467.1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281.93</v>
      </c>
      <c r="G87" s="49">
        <f t="shared" si="24"/>
        <v>61.93000000000001</v>
      </c>
      <c r="H87" s="40">
        <f t="shared" si="25"/>
        <v>128.15</v>
      </c>
      <c r="I87" s="56">
        <f t="shared" si="26"/>
        <v>-218.07</v>
      </c>
      <c r="J87" s="56">
        <f t="shared" si="27"/>
        <v>56.386</v>
      </c>
      <c r="K87" s="56">
        <f>F87-227.9</f>
        <v>54.03</v>
      </c>
      <c r="L87" s="135">
        <f>F87/227.9</f>
        <v>1.2370776656428257</v>
      </c>
      <c r="M87" s="40">
        <f>E87-жовтень!E87</f>
        <v>0</v>
      </c>
      <c r="N87" s="40">
        <f>F87-жовтень!F87</f>
        <v>2.329999999999984</v>
      </c>
      <c r="O87" s="53">
        <f t="shared" si="28"/>
        <v>2.329999999999984</v>
      </c>
      <c r="P87" s="56" t="e">
        <f t="shared" si="29"/>
        <v>#DIV/0!</v>
      </c>
      <c r="Q87" s="56">
        <f>N87-5.7</f>
        <v>-3.370000000000016</v>
      </c>
      <c r="R87" s="135">
        <f>N87/5.7</f>
        <v>0.4087719298245586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4.5</v>
      </c>
      <c r="F88" s="169">
        <v>5.94</v>
      </c>
      <c r="G88" s="49">
        <f t="shared" si="24"/>
        <v>1.4400000000000004</v>
      </c>
      <c r="H88" s="40">
        <f>F88/E88*100</f>
        <v>132</v>
      </c>
      <c r="I88" s="56">
        <f t="shared" si="26"/>
        <v>0.8400000000000007</v>
      </c>
      <c r="J88" s="56">
        <f t="shared" si="27"/>
        <v>116.47058823529413</v>
      </c>
      <c r="K88" s="56">
        <f>F88-4.9</f>
        <v>1.04</v>
      </c>
      <c r="L88" s="135"/>
      <c r="M88" s="40">
        <f>E88-жовтень!E88</f>
        <v>0.5</v>
      </c>
      <c r="N88" s="40">
        <f>F88-жовтень!F88</f>
        <v>0.34000000000000075</v>
      </c>
      <c r="O88" s="53">
        <f t="shared" si="28"/>
        <v>-0.15999999999999925</v>
      </c>
      <c r="P88" s="56">
        <f>N88/M88*100</f>
        <v>68.00000000000014</v>
      </c>
      <c r="Q88" s="56">
        <f>N88-0.5</f>
        <v>-0.15999999999999925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159</v>
      </c>
      <c r="F89" s="169">
        <v>120.1</v>
      </c>
      <c r="G89" s="49">
        <f t="shared" si="24"/>
        <v>-38.900000000000006</v>
      </c>
      <c r="H89" s="40">
        <f>F89/E89*100</f>
        <v>75.53459119496854</v>
      </c>
      <c r="I89" s="56">
        <f t="shared" si="26"/>
        <v>-54.900000000000006</v>
      </c>
      <c r="J89" s="56">
        <f t="shared" si="27"/>
        <v>68.62857142857143</v>
      </c>
      <c r="K89" s="56">
        <f>F89-147.9</f>
        <v>-27.80000000000001</v>
      </c>
      <c r="L89" s="135">
        <f>F89/147.9</f>
        <v>0.8120351588911426</v>
      </c>
      <c r="M89" s="40">
        <f>E89-жовтень!E89</f>
        <v>15</v>
      </c>
      <c r="N89" s="40">
        <f>F89-жовтень!F89</f>
        <v>7.6499999999999915</v>
      </c>
      <c r="O89" s="53">
        <f t="shared" si="28"/>
        <v>-7.3500000000000085</v>
      </c>
      <c r="P89" s="56">
        <f>N89/M89*100</f>
        <v>50.99999999999994</v>
      </c>
      <c r="Q89" s="56">
        <f>N89-10.4</f>
        <v>-2.750000000000009</v>
      </c>
      <c r="R89" s="135">
        <f>N89/10.4</f>
        <v>0.7355769230769222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E90-жовтень!E90</f>
        <v>0</v>
      </c>
      <c r="N90" s="40">
        <f>F90-жовтень!F90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E91-жовтень!E91</f>
        <v>0</v>
      </c>
      <c r="N91" s="40">
        <f>F91-жовтень!F91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E92-жовтень!E92</f>
        <v>0</v>
      </c>
      <c r="N92" s="40">
        <f>F92-жовтень!F92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E93-жовтень!E93</f>
        <v>0</v>
      </c>
      <c r="N93" s="40">
        <f>F93-жовтень!F93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E94-жовтень!E94</f>
        <v>0</v>
      </c>
      <c r="N94" s="40">
        <f>F94-жовтень!F94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6406.5</v>
      </c>
      <c r="F95" s="169">
        <v>6573.84</v>
      </c>
      <c r="G95" s="49">
        <f t="shared" si="31"/>
        <v>167.34000000000015</v>
      </c>
      <c r="H95" s="40">
        <f>F95/E95*100</f>
        <v>102.61203465230626</v>
      </c>
      <c r="I95" s="56">
        <f t="shared" si="32"/>
        <v>-426.15999999999985</v>
      </c>
      <c r="J95" s="56">
        <f>F95/D95*100</f>
        <v>93.912</v>
      </c>
      <c r="K95" s="56">
        <f>F95-6761</f>
        <v>-187.15999999999985</v>
      </c>
      <c r="L95" s="135">
        <f>F95/6761</f>
        <v>0.9723177044815856</v>
      </c>
      <c r="M95" s="40">
        <f>E95-жовтень!E95</f>
        <v>575</v>
      </c>
      <c r="N95" s="40">
        <f>F95-жовтень!F95</f>
        <v>636.6900000000005</v>
      </c>
      <c r="O95" s="53">
        <f t="shared" si="33"/>
        <v>61.69000000000051</v>
      </c>
      <c r="P95" s="56">
        <f>N95/M95*100</f>
        <v>110.728695652174</v>
      </c>
      <c r="Q95" s="56">
        <f>N95-591</f>
        <v>45.69000000000051</v>
      </c>
      <c r="R95" s="135">
        <f>N95/591</f>
        <v>1.0773096446700516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1014.5</v>
      </c>
      <c r="F96" s="169">
        <v>929.69</v>
      </c>
      <c r="G96" s="49">
        <f t="shared" si="31"/>
        <v>-84.80999999999995</v>
      </c>
      <c r="H96" s="40">
        <f>F96/E96*100</f>
        <v>91.64021685559389</v>
      </c>
      <c r="I96" s="56">
        <f t="shared" si="32"/>
        <v>-270.30999999999995</v>
      </c>
      <c r="J96" s="56">
        <f>F96/D96*100</f>
        <v>77.47416666666666</v>
      </c>
      <c r="K96" s="56">
        <f>F96-1013.8</f>
        <v>-84.1099999999999</v>
      </c>
      <c r="L96" s="135">
        <f>F96/1013.8</f>
        <v>0.9170349181298088</v>
      </c>
      <c r="M96" s="40">
        <f>E96-жовтень!E96</f>
        <v>110</v>
      </c>
      <c r="N96" s="40">
        <f>F96-жовтень!F96</f>
        <v>64.5200000000001</v>
      </c>
      <c r="O96" s="53">
        <f t="shared" si="33"/>
        <v>-45.479999999999905</v>
      </c>
      <c r="P96" s="56">
        <f>N96/M96*100</f>
        <v>58.654545454545534</v>
      </c>
      <c r="Q96" s="56">
        <f>N96-83.7</f>
        <v>-19.179999999999907</v>
      </c>
      <c r="R96" s="135">
        <f>N96/83.7</f>
        <v>0.7708482676224623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20</v>
      </c>
      <c r="F97" s="169">
        <v>0.53</v>
      </c>
      <c r="G97" s="49">
        <f t="shared" si="31"/>
        <v>-19.47</v>
      </c>
      <c r="H97" s="40"/>
      <c r="I97" s="56">
        <f t="shared" si="32"/>
        <v>-39.47</v>
      </c>
      <c r="J97" s="56"/>
      <c r="K97" s="56">
        <f>F97-40.5</f>
        <v>-39.97</v>
      </c>
      <c r="L97" s="135">
        <f>F97/40.5</f>
        <v>0.01308641975308642</v>
      </c>
      <c r="M97" s="40">
        <f>E97-жовтень!E97</f>
        <v>20</v>
      </c>
      <c r="N97" s="40">
        <f>F97-жовтень!F97</f>
        <v>0</v>
      </c>
      <c r="O97" s="53">
        <f t="shared" si="33"/>
        <v>-20</v>
      </c>
      <c r="P97" s="56"/>
      <c r="Q97" s="56">
        <f>N97-0.1</f>
        <v>-0.1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E98-жовтень!E98</f>
        <v>0</v>
      </c>
      <c r="N98" s="40">
        <f>F98-жовтень!F98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3667</v>
      </c>
      <c r="F99" s="169">
        <v>3739.19</v>
      </c>
      <c r="G99" s="49">
        <f t="shared" si="31"/>
        <v>72.19000000000005</v>
      </c>
      <c r="H99" s="40">
        <f>F99/E99*100</f>
        <v>101.96863921461686</v>
      </c>
      <c r="I99" s="56">
        <f t="shared" si="32"/>
        <v>-833.5099999999998</v>
      </c>
      <c r="J99" s="56">
        <f>F99/D99*100</f>
        <v>81.7720384018195</v>
      </c>
      <c r="K99" s="56">
        <f>F99-4178.8</f>
        <v>-439.6100000000001</v>
      </c>
      <c r="L99" s="135">
        <f>F99/4178.8</f>
        <v>0.8947999425672442</v>
      </c>
      <c r="M99" s="40">
        <f>E99-жовтень!E99</f>
        <v>330</v>
      </c>
      <c r="N99" s="40">
        <f>F99-жовтень!F99</f>
        <v>292.25</v>
      </c>
      <c r="O99" s="53">
        <f t="shared" si="33"/>
        <v>-37.75</v>
      </c>
      <c r="P99" s="56">
        <f>N99/M99*100</f>
        <v>88.56060606060606</v>
      </c>
      <c r="Q99" s="56">
        <f>N99-332.8</f>
        <v>-40.55000000000001</v>
      </c>
      <c r="R99" s="135">
        <f>N99/332.8</f>
        <v>0.878155048076923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E100-жовтень!E100</f>
        <v>0</v>
      </c>
      <c r="N100" s="40">
        <f>F100-жовтень!F100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E101-жовтень!E101</f>
        <v>0</v>
      </c>
      <c r="N101" s="40">
        <f>F101-жовтень!F101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903.9</v>
      </c>
      <c r="G102" s="144"/>
      <c r="H102" s="146"/>
      <c r="I102" s="145"/>
      <c r="J102" s="145"/>
      <c r="K102" s="148">
        <f>F102-738.2</f>
        <v>165.69999999999993</v>
      </c>
      <c r="L102" s="149">
        <f>F102/738.2</f>
        <v>1.2244649146572744</v>
      </c>
      <c r="M102" s="40">
        <f>E102-жовтень!E102</f>
        <v>0</v>
      </c>
      <c r="N102" s="40">
        <f>F102-жовтень!F102</f>
        <v>64.60000000000002</v>
      </c>
      <c r="O102" s="53"/>
      <c r="P102" s="60"/>
      <c r="Q102" s="60">
        <f>N102-89.7</f>
        <v>-25.09999999999998</v>
      </c>
      <c r="R102" s="138">
        <f>N102/89.7</f>
        <v>0.7201783723522857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E103-жовтень!E103</f>
        <v>0</v>
      </c>
      <c r="N103" s="40">
        <f>F103-жовтень!F103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-43.06</v>
      </c>
      <c r="K104" s="56">
        <f>F104-63.9</f>
        <v>-50.62</v>
      </c>
      <c r="L104" s="135">
        <f>F104/63.9</f>
        <v>0.20782472613458527</v>
      </c>
      <c r="M104" s="40">
        <f>E104-жовтень!E104</f>
        <v>0</v>
      </c>
      <c r="N104" s="40">
        <f>F104-жовтень!F104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30.2</v>
      </c>
      <c r="F105" s="169">
        <v>22.44</v>
      </c>
      <c r="G105" s="49">
        <f>F105-E105</f>
        <v>-7.759999999999998</v>
      </c>
      <c r="H105" s="40">
        <f>F105/E105*100</f>
        <v>74.30463576158941</v>
      </c>
      <c r="I105" s="56">
        <f t="shared" si="34"/>
        <v>-22.56</v>
      </c>
      <c r="J105" s="56">
        <f aca="true" t="shared" si="36" ref="J105:J110">F105/D105*100</f>
        <v>49.86666666666667</v>
      </c>
      <c r="K105" s="56">
        <f>F105-35.8</f>
        <v>-13.359999999999996</v>
      </c>
      <c r="L105" s="135">
        <f>F105/35.8</f>
        <v>0.6268156424581006</v>
      </c>
      <c r="M105" s="40">
        <f>E105-жовтень!E105</f>
        <v>3</v>
      </c>
      <c r="N105" s="40">
        <f>F105-жовтень!F105</f>
        <v>0.7300000000000004</v>
      </c>
      <c r="O105" s="53">
        <f t="shared" si="35"/>
        <v>-2.2699999999999996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E106-жовтень!E106</f>
        <v>0</v>
      </c>
      <c r="N106" s="40">
        <f>F106-жовтень!F106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446565.23</v>
      </c>
      <c r="F107" s="22">
        <f>F8+F74+F105+F106</f>
        <v>419207.87</v>
      </c>
      <c r="G107" s="175">
        <f>F107-E107</f>
        <v>-27357.359999999986</v>
      </c>
      <c r="H107" s="51">
        <f>F107/E107*100</f>
        <v>93.87382667477269</v>
      </c>
      <c r="I107" s="36">
        <f t="shared" si="34"/>
        <v>-87671.72999999998</v>
      </c>
      <c r="J107" s="36">
        <f t="shared" si="36"/>
        <v>82.70363810261846</v>
      </c>
      <c r="K107" s="36">
        <f>F107-438950.2</f>
        <v>-19742.330000000016</v>
      </c>
      <c r="L107" s="136">
        <f>F107/438950.2</f>
        <v>0.9550237589594446</v>
      </c>
      <c r="M107" s="22">
        <f>M8+M74+M105+M106</f>
        <v>41837.89000000002</v>
      </c>
      <c r="N107" s="22">
        <f>N8+N74+N105+N106</f>
        <v>19637.62999999999</v>
      </c>
      <c r="O107" s="55">
        <f t="shared" si="35"/>
        <v>-22200.26000000003</v>
      </c>
      <c r="P107" s="36">
        <f>N107/M107*100</f>
        <v>46.93742920591832</v>
      </c>
      <c r="Q107" s="36">
        <f>N107-41056.6</f>
        <v>-21418.97000000001</v>
      </c>
      <c r="R107" s="136">
        <f>N107/41056.6</f>
        <v>0.47830628936638664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353022.5</v>
      </c>
      <c r="F108" s="71">
        <f>F10-F18+F96</f>
        <v>334030.11</v>
      </c>
      <c r="G108" s="153">
        <f>G10-G18+G96</f>
        <v>-18992.390000000018</v>
      </c>
      <c r="H108" s="72">
        <f>F108/E108*100</f>
        <v>94.62006246060804</v>
      </c>
      <c r="I108" s="52">
        <f t="shared" si="34"/>
        <v>-54183.090000000026</v>
      </c>
      <c r="J108" s="52">
        <f t="shared" si="36"/>
        <v>86.04295526272676</v>
      </c>
      <c r="K108" s="52">
        <f>F108-335439.2</f>
        <v>-1409.0900000000256</v>
      </c>
      <c r="L108" s="137">
        <f>F108/335439.2</f>
        <v>0.9957992685410649</v>
      </c>
      <c r="M108" s="71">
        <f>M10-M18+M96</f>
        <v>32411.900000000023</v>
      </c>
      <c r="N108" s="71">
        <f>N10-N18+N96</f>
        <v>17142.74999999998</v>
      </c>
      <c r="O108" s="53">
        <f t="shared" si="35"/>
        <v>-15269.150000000041</v>
      </c>
      <c r="P108" s="52">
        <f>N108/M108*100</f>
        <v>52.89029646518707</v>
      </c>
      <c r="Q108" s="52">
        <f>N108-32327.7</f>
        <v>-15184.950000000019</v>
      </c>
      <c r="R108" s="137">
        <f>N108/32327.7</f>
        <v>0.5302805334125218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93542.72999999998</v>
      </c>
      <c r="F109" s="71">
        <f>F107-F108</f>
        <v>85177.76000000001</v>
      </c>
      <c r="G109" s="176">
        <f>F109-E109</f>
        <v>-8364.969999999972</v>
      </c>
      <c r="H109" s="72">
        <f>F109/E109*100</f>
        <v>91.05759474841074</v>
      </c>
      <c r="I109" s="52">
        <f t="shared" si="34"/>
        <v>-33488.639999999956</v>
      </c>
      <c r="J109" s="52">
        <f t="shared" si="36"/>
        <v>71.77917253746641</v>
      </c>
      <c r="K109" s="52">
        <f>F109-103511.1</f>
        <v>-18333.339999999997</v>
      </c>
      <c r="L109" s="137">
        <f>F109/103511.1</f>
        <v>0.8228852751057616</v>
      </c>
      <c r="M109" s="71">
        <f>M107-M108</f>
        <v>9425.989999999998</v>
      </c>
      <c r="N109" s="71">
        <f>N107-N108</f>
        <v>2494.8800000000083</v>
      </c>
      <c r="O109" s="53">
        <f t="shared" si="35"/>
        <v>-6931.10999999999</v>
      </c>
      <c r="P109" s="52">
        <f>N109/M109*100</f>
        <v>26.46809512846936</v>
      </c>
      <c r="Q109" s="52">
        <f>N109-8729</f>
        <v>-6234.119999999992</v>
      </c>
      <c r="R109" s="137">
        <f>N109/8729</f>
        <v>0.2858150990949717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348682.6</v>
      </c>
      <c r="F110" s="71">
        <f>F108</f>
        <v>334030.11</v>
      </c>
      <c r="G110" s="111">
        <f>F110-E110</f>
        <v>-14652.48999999999</v>
      </c>
      <c r="H110" s="72">
        <f>F110/E110*100</f>
        <v>95.79775704322499</v>
      </c>
      <c r="I110" s="81">
        <f t="shared" si="34"/>
        <v>-54183.090000000026</v>
      </c>
      <c r="J110" s="52">
        <f t="shared" si="36"/>
        <v>86.04295526272676</v>
      </c>
      <c r="K110" s="52"/>
      <c r="L110" s="137"/>
      <c r="M110" s="72">
        <f>E110-жовтень!E110</f>
        <v>33441.899999999965</v>
      </c>
      <c r="N110" s="71">
        <f>N108</f>
        <v>17142.74999999998</v>
      </c>
      <c r="O110" s="63">
        <f t="shared" si="35"/>
        <v>-16299.149999999983</v>
      </c>
      <c r="P110" s="52">
        <f>N110/M110*100</f>
        <v>51.26129197204704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295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F114-20.7</f>
        <v>-20.74</v>
      </c>
      <c r="L114" s="138">
        <f>F114/20.7</f>
        <v>-0.0019323671497584543</v>
      </c>
      <c r="M114" s="40">
        <f>E114-жовтень!E114</f>
        <v>0</v>
      </c>
      <c r="N114" s="40">
        <f>F114-жовтень!F114</f>
        <v>0</v>
      </c>
      <c r="O114" s="53"/>
      <c r="P114" s="60"/>
      <c r="Q114" s="60">
        <f>N114-(-0.8)</f>
        <v>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3334.4</v>
      </c>
      <c r="F115" s="174">
        <v>1394.41</v>
      </c>
      <c r="G115" s="49">
        <f t="shared" si="37"/>
        <v>-1939.99</v>
      </c>
      <c r="H115" s="40">
        <f aca="true" t="shared" si="39" ref="H115:H126">F115/E115*100</f>
        <v>41.8189179462572</v>
      </c>
      <c r="I115" s="60">
        <f t="shared" si="38"/>
        <v>-2277.09</v>
      </c>
      <c r="J115" s="60">
        <f aca="true" t="shared" si="40" ref="J115:J121">F115/D115*100</f>
        <v>37.97930001361841</v>
      </c>
      <c r="K115" s="60">
        <f>F115-3211.4</f>
        <v>-1816.99</v>
      </c>
      <c r="L115" s="138">
        <f>F115/3211.4</f>
        <v>0.4342062651802952</v>
      </c>
      <c r="M115" s="40">
        <f>E115-жовтень!E115</f>
        <v>327.4000000000001</v>
      </c>
      <c r="N115" s="40">
        <f>F115-жовтень!F115</f>
        <v>75.86000000000013</v>
      </c>
      <c r="O115" s="53">
        <f aca="true" t="shared" si="41" ref="O115:O126">N115-M115</f>
        <v>-251.53999999999996</v>
      </c>
      <c r="P115" s="60">
        <f>N115/M115*100</f>
        <v>23.170433720219947</v>
      </c>
      <c r="Q115" s="60">
        <f>N115-83.3</f>
        <v>-7.43999999999987</v>
      </c>
      <c r="R115" s="138">
        <f>N115/83.3</f>
        <v>0.9106842737094853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244.5</v>
      </c>
      <c r="F116" s="172">
        <v>284.81</v>
      </c>
      <c r="G116" s="49">
        <f t="shared" si="37"/>
        <v>40.31</v>
      </c>
      <c r="H116" s="40">
        <f t="shared" si="39"/>
        <v>116.48670756646217</v>
      </c>
      <c r="I116" s="60">
        <f t="shared" si="38"/>
        <v>16.70999999999998</v>
      </c>
      <c r="J116" s="60">
        <f t="shared" si="40"/>
        <v>106.23274897426333</v>
      </c>
      <c r="K116" s="60">
        <f>F116-245.6</f>
        <v>39.21000000000001</v>
      </c>
      <c r="L116" s="138">
        <f>F116/245.6</f>
        <v>1.1596498371335506</v>
      </c>
      <c r="M116" s="40">
        <f>E116-жовтень!E116</f>
        <v>22</v>
      </c>
      <c r="N116" s="40">
        <f>F116-жовтень!F116</f>
        <v>21.560000000000002</v>
      </c>
      <c r="O116" s="53">
        <f t="shared" si="41"/>
        <v>-0.4399999999999977</v>
      </c>
      <c r="P116" s="60">
        <f>N116/M116*100</f>
        <v>98.00000000000001</v>
      </c>
      <c r="Q116" s="60">
        <f>N116-24.1</f>
        <v>-2.539999999999999</v>
      </c>
      <c r="R116" s="138">
        <f>N116/24.1</f>
        <v>0.8946058091286307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3578.9</v>
      </c>
      <c r="F117" s="173">
        <f>SUM(F114:F116)</f>
        <v>1679.18</v>
      </c>
      <c r="G117" s="62">
        <f t="shared" si="37"/>
        <v>-1899.72</v>
      </c>
      <c r="H117" s="72">
        <f t="shared" si="39"/>
        <v>46.91888569113415</v>
      </c>
      <c r="I117" s="61">
        <f t="shared" si="38"/>
        <v>-2260.42</v>
      </c>
      <c r="J117" s="61">
        <f t="shared" si="40"/>
        <v>42.62310894507057</v>
      </c>
      <c r="K117" s="61">
        <f>F117-3477.6</f>
        <v>-1798.4199999999998</v>
      </c>
      <c r="L117" s="139">
        <f>F117/3477.6</f>
        <v>0.48285599263860135</v>
      </c>
      <c r="M117" s="62">
        <f>M115+M116+M114</f>
        <v>349.4000000000001</v>
      </c>
      <c r="N117" s="38">
        <f>SUM(N114:N116)</f>
        <v>97.42000000000013</v>
      </c>
      <c r="O117" s="61">
        <f t="shared" si="41"/>
        <v>-251.97999999999996</v>
      </c>
      <c r="P117" s="61">
        <f>N117/M117*100</f>
        <v>27.882083571837462</v>
      </c>
      <c r="Q117" s="61">
        <f>N117-106.6</f>
        <v>-9.179999999999865</v>
      </c>
      <c r="R117" s="139">
        <f>N117/106.6</f>
        <v>0.9138836772983127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441.28</v>
      </c>
      <c r="G119" s="49">
        <f t="shared" si="37"/>
        <v>180.77999999999997</v>
      </c>
      <c r="H119" s="40">
        <f t="shared" si="39"/>
        <v>169.3973128598848</v>
      </c>
      <c r="I119" s="60">
        <f t="shared" si="38"/>
        <v>174.07999999999998</v>
      </c>
      <c r="J119" s="60">
        <f t="shared" si="40"/>
        <v>165.14970059880238</v>
      </c>
      <c r="K119" s="60">
        <f>F119-237.7</f>
        <v>203.57999999999998</v>
      </c>
      <c r="L119" s="138">
        <f>F119/237.7</f>
        <v>1.8564577198148926</v>
      </c>
      <c r="M119" s="40">
        <f>E119-жовтень!E119</f>
        <v>0</v>
      </c>
      <c r="N119" s="40">
        <f>F119-жовтень!F119</f>
        <v>4.279999999999973</v>
      </c>
      <c r="O119" s="53">
        <f>N119-M119</f>
        <v>4.279999999999973</v>
      </c>
      <c r="P119" s="60" t="e">
        <f>N119/M119*100</f>
        <v>#DIV/0!</v>
      </c>
      <c r="Q119" s="60">
        <f>N119-3.5</f>
        <v>0.7799999999999727</v>
      </c>
      <c r="R119" s="138">
        <f>N119/3.5</f>
        <v>1.222857142857135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68712.6</v>
      </c>
      <c r="F120" s="174">
        <v>76087.45</v>
      </c>
      <c r="G120" s="49">
        <f t="shared" si="37"/>
        <v>7374.849999999991</v>
      </c>
      <c r="H120" s="40">
        <f t="shared" si="39"/>
        <v>110.73289323937676</v>
      </c>
      <c r="I120" s="53">
        <f t="shared" si="38"/>
        <v>4111.459999999992</v>
      </c>
      <c r="J120" s="60">
        <f t="shared" si="40"/>
        <v>105.71226599314576</v>
      </c>
      <c r="K120" s="60">
        <f>F120-66794.9</f>
        <v>9292.550000000003</v>
      </c>
      <c r="L120" s="138">
        <f>F120/66794.9</f>
        <v>1.1391206514269803</v>
      </c>
      <c r="M120" s="40">
        <f>E120-жовтень!E120</f>
        <v>8700.000000000007</v>
      </c>
      <c r="N120" s="40">
        <f>F120-жовтень!F120</f>
        <v>8230.169999999998</v>
      </c>
      <c r="O120" s="53">
        <f t="shared" si="41"/>
        <v>-469.830000000009</v>
      </c>
      <c r="P120" s="60">
        <f aca="true" t="shared" si="42" ref="P120:P125">N120/M120*100</f>
        <v>94.5996551724137</v>
      </c>
      <c r="Q120" s="60">
        <f>N120-8604.8</f>
        <v>-374.630000000001</v>
      </c>
      <c r="R120" s="138">
        <f>N120/8604.8</f>
        <v>0.9564626719970248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3361.19</v>
      </c>
      <c r="F121" s="174">
        <v>1754.81</v>
      </c>
      <c r="G121" s="49">
        <f t="shared" si="37"/>
        <v>-1606.38</v>
      </c>
      <c r="H121" s="40">
        <f t="shared" si="39"/>
        <v>52.20799776269713</v>
      </c>
      <c r="I121" s="60">
        <f t="shared" si="38"/>
        <v>-2995.19</v>
      </c>
      <c r="J121" s="60">
        <f t="shared" si="40"/>
        <v>36.94336842105263</v>
      </c>
      <c r="K121" s="60">
        <f>F121-1790.1</f>
        <v>-35.289999999999964</v>
      </c>
      <c r="L121" s="138">
        <f>F121/1790.1</f>
        <v>0.9802860175409195</v>
      </c>
      <c r="M121" s="40">
        <f>E121-жовтень!E121</f>
        <v>161.78999999999996</v>
      </c>
      <c r="N121" s="40">
        <f>F121-жовтень!F121</f>
        <v>0.01999999999998181</v>
      </c>
      <c r="O121" s="53">
        <f t="shared" si="41"/>
        <v>-161.76999999999998</v>
      </c>
      <c r="P121" s="60">
        <f t="shared" si="42"/>
        <v>0.012361703442723167</v>
      </c>
      <c r="Q121" s="60">
        <f>N121-500.5</f>
        <v>-500.48</v>
      </c>
      <c r="R121" s="138">
        <f>N121/500.5</f>
        <v>3.996003996000362E-05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20309.73</v>
      </c>
      <c r="F122" s="174">
        <v>3687.72</v>
      </c>
      <c r="G122" s="49">
        <f t="shared" si="37"/>
        <v>-16622.01</v>
      </c>
      <c r="H122" s="40">
        <f t="shared" si="39"/>
        <v>18.157405342168506</v>
      </c>
      <c r="I122" s="60">
        <f t="shared" si="38"/>
        <v>-19389.41</v>
      </c>
      <c r="J122" s="60">
        <f>F122/D122*100</f>
        <v>15.979976712875473</v>
      </c>
      <c r="K122" s="60">
        <f>F122-23492</f>
        <v>-19804.28</v>
      </c>
      <c r="L122" s="138">
        <f>F122/23492</f>
        <v>0.15697769453430954</v>
      </c>
      <c r="M122" s="40">
        <f>E122-жовтень!E122</f>
        <v>2733.5</v>
      </c>
      <c r="N122" s="40">
        <f>F122-жовтень!F122</f>
        <v>925.6199999999999</v>
      </c>
      <c r="O122" s="53">
        <f t="shared" si="41"/>
        <v>-1807.88</v>
      </c>
      <c r="P122" s="60">
        <f t="shared" si="42"/>
        <v>33.86208158039143</v>
      </c>
      <c r="Q122" s="60">
        <f>N122-826.2</f>
        <v>99.41999999999985</v>
      </c>
      <c r="R122" s="138">
        <f>N122/826.2</f>
        <v>1.1203340595497455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1810.4</v>
      </c>
      <c r="F123" s="174">
        <v>1290.64</v>
      </c>
      <c r="G123" s="49">
        <f t="shared" si="37"/>
        <v>-519.76</v>
      </c>
      <c r="H123" s="40">
        <f t="shared" si="39"/>
        <v>71.29032258064515</v>
      </c>
      <c r="I123" s="60">
        <f t="shared" si="38"/>
        <v>-709.3599999999999</v>
      </c>
      <c r="J123" s="60">
        <f>F123/D123*100</f>
        <v>64.532</v>
      </c>
      <c r="K123" s="60">
        <f>F123-1731.9</f>
        <v>-441.26</v>
      </c>
      <c r="L123" s="138">
        <f>F123/1731.9</f>
        <v>0.7452162365032623</v>
      </c>
      <c r="M123" s="40">
        <f>E123-жовтень!E123</f>
        <v>189.59000000000015</v>
      </c>
      <c r="N123" s="40">
        <f>F123-жовтень!F123</f>
        <v>156.62000000000012</v>
      </c>
      <c r="O123" s="53">
        <f t="shared" si="41"/>
        <v>-32.97000000000003</v>
      </c>
      <c r="P123" s="60">
        <f t="shared" si="42"/>
        <v>82.60984229126008</v>
      </c>
      <c r="Q123" s="60">
        <f>N123-9.2</f>
        <v>147.42000000000013</v>
      </c>
      <c r="R123" s="138">
        <f>N123/9.2</f>
        <v>17.023913043478274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94454.42</v>
      </c>
      <c r="F124" s="173">
        <f>F120+F121+F122+F123+F119</f>
        <v>83261.9</v>
      </c>
      <c r="G124" s="62">
        <f t="shared" si="37"/>
        <v>-11192.520000000004</v>
      </c>
      <c r="H124" s="72">
        <f t="shared" si="39"/>
        <v>88.1503480726471</v>
      </c>
      <c r="I124" s="61">
        <f t="shared" si="38"/>
        <v>-18808.420000000013</v>
      </c>
      <c r="J124" s="61">
        <f>F124/D124*100</f>
        <v>81.57307628701467</v>
      </c>
      <c r="K124" s="61">
        <f>F124-94046.5</f>
        <v>-10784.600000000006</v>
      </c>
      <c r="L124" s="139">
        <f>F124/94046.5</f>
        <v>0.8853269393332022</v>
      </c>
      <c r="M124" s="62">
        <f>M120+M121+M122+M123+M119</f>
        <v>11784.880000000008</v>
      </c>
      <c r="N124" s="62">
        <f>N120+N121+N122+N123+N119</f>
        <v>9316.71</v>
      </c>
      <c r="O124" s="61">
        <f t="shared" si="41"/>
        <v>-2468.170000000009</v>
      </c>
      <c r="P124" s="61">
        <f t="shared" si="42"/>
        <v>79.0564689670153</v>
      </c>
      <c r="Q124" s="61">
        <f>N124-9944.1</f>
        <v>-627.3900000000012</v>
      </c>
      <c r="R124" s="139">
        <f>N124/9944.1</f>
        <v>0.9369083174947958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35.16</v>
      </c>
      <c r="F125" s="174">
        <v>35.01</v>
      </c>
      <c r="G125" s="49">
        <f t="shared" si="37"/>
        <v>-0.14999999999999858</v>
      </c>
      <c r="H125" s="40">
        <f t="shared" si="39"/>
        <v>99.57337883959045</v>
      </c>
      <c r="I125" s="60">
        <f t="shared" si="38"/>
        <v>-8.490000000000002</v>
      </c>
      <c r="J125" s="60">
        <f>F125/D125*100</f>
        <v>80.48275862068965</v>
      </c>
      <c r="K125" s="60">
        <f>F125-114.2</f>
        <v>-79.19</v>
      </c>
      <c r="L125" s="138">
        <f>F125/114.2</f>
        <v>0.3065674255691769</v>
      </c>
      <c r="M125" s="40">
        <f>E125-вересень!E125</f>
        <v>7.9999999999999964</v>
      </c>
      <c r="N125" s="40">
        <f>F125-вересень!F125</f>
        <v>10.839999999999996</v>
      </c>
      <c r="O125" s="53">
        <f t="shared" si="41"/>
        <v>2.84</v>
      </c>
      <c r="P125" s="60">
        <f t="shared" si="42"/>
        <v>135.50000000000003</v>
      </c>
      <c r="Q125" s="60">
        <f>N125-0.2</f>
        <v>10.639999999999997</v>
      </c>
      <c r="R125" s="138">
        <f>N125/0.2</f>
        <v>54.19999999999998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F127-17.9</f>
        <v>1.5800000000000018</v>
      </c>
      <c r="L127" s="138">
        <f>F127/17.9</f>
        <v>1.088268156424581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N127-0.7</f>
        <v>-0.7</v>
      </c>
      <c r="R127" s="162">
        <f>N127/0.7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8699</v>
      </c>
      <c r="F128" s="174">
        <v>7399.15</v>
      </c>
      <c r="G128" s="49">
        <f aca="true" t="shared" si="43" ref="G128:G135">F128-E128</f>
        <v>-1299.8500000000004</v>
      </c>
      <c r="H128" s="40">
        <f>F128/E128*100</f>
        <v>85.05747787101964</v>
      </c>
      <c r="I128" s="60">
        <f aca="true" t="shared" si="44" ref="I128:I135">F128-D128</f>
        <v>-1300.8500000000004</v>
      </c>
      <c r="J128" s="60">
        <f>F128/D128*100</f>
        <v>85.04770114942528</v>
      </c>
      <c r="K128" s="60">
        <f>F128-10826.4</f>
        <v>-3427.25</v>
      </c>
      <c r="L128" s="138">
        <f>F128/10826.4</f>
        <v>0.6834358604891746</v>
      </c>
      <c r="M128" s="40">
        <f>E128-вересень!E128</f>
        <v>1980.5</v>
      </c>
      <c r="N128" s="40">
        <f>F128-вересень!F128</f>
        <v>30.269999999999527</v>
      </c>
      <c r="O128" s="53">
        <f aca="true" t="shared" si="45" ref="O128:O135">N128-M128</f>
        <v>-1950.2300000000005</v>
      </c>
      <c r="P128" s="60">
        <f>N128/M128*100</f>
        <v>1.5284019187073732</v>
      </c>
      <c r="Q128" s="60">
        <f>N128-2097.7</f>
        <v>-2067.4300000000003</v>
      </c>
      <c r="R128" s="162">
        <f>N128/2097.7</f>
        <v>0.014430090098679281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1.36</v>
      </c>
      <c r="G129" s="49">
        <f t="shared" si="43"/>
        <v>1.36</v>
      </c>
      <c r="H129" s="40"/>
      <c r="I129" s="60">
        <f t="shared" si="44"/>
        <v>1.36</v>
      </c>
      <c r="J129" s="60"/>
      <c r="K129" s="60">
        <f>F129-0.8</f>
        <v>0.56</v>
      </c>
      <c r="L129" s="138">
        <f>F129/0.8</f>
        <v>1.7</v>
      </c>
      <c r="M129" s="40">
        <f>E129-вересень!E129</f>
        <v>0</v>
      </c>
      <c r="N129" s="40">
        <f>F129-вересень!F129</f>
        <v>0.28</v>
      </c>
      <c r="O129" s="53">
        <f t="shared" si="45"/>
        <v>0.28</v>
      </c>
      <c r="P129" s="60"/>
      <c r="Q129" s="60">
        <f>N129-(-0.3)</f>
        <v>0.5800000000000001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8741.36</v>
      </c>
      <c r="F130" s="173">
        <f>F128+F125+F129+F127</f>
        <v>7454.999999999999</v>
      </c>
      <c r="G130" s="62">
        <f t="shared" si="43"/>
        <v>-1286.3600000000015</v>
      </c>
      <c r="H130" s="72">
        <f>F130/E130*100</f>
        <v>85.28421206768739</v>
      </c>
      <c r="I130" s="61">
        <f t="shared" si="44"/>
        <v>-1295.7000000000016</v>
      </c>
      <c r="J130" s="61">
        <f>F130/D130*100</f>
        <v>85.19318454523636</v>
      </c>
      <c r="K130" s="61">
        <f>F130-10959.2</f>
        <v>-3504.2000000000016</v>
      </c>
      <c r="L130" s="139">
        <f>G130/10959.2</f>
        <v>-0.11737718081611809</v>
      </c>
      <c r="M130" s="62">
        <f>M125+M128+M129+M127</f>
        <v>1988.5</v>
      </c>
      <c r="N130" s="62">
        <f>N125+N128+N129+N127</f>
        <v>41.389999999999525</v>
      </c>
      <c r="O130" s="61">
        <f t="shared" si="45"/>
        <v>-1947.1100000000006</v>
      </c>
      <c r="P130" s="61">
        <f>N130/M130*100</f>
        <v>2.081468443550391</v>
      </c>
      <c r="Q130" s="61">
        <f>N130-2098.3</f>
        <v>-2056.9100000000008</v>
      </c>
      <c r="R130" s="137">
        <f>N130/2098.3</f>
        <v>0.019725492065004777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24.25</v>
      </c>
      <c r="F131" s="174">
        <v>33.63</v>
      </c>
      <c r="G131" s="49">
        <f>F131-E131</f>
        <v>9.380000000000003</v>
      </c>
      <c r="H131" s="40">
        <f>F131/E131*100</f>
        <v>138.68041237113403</v>
      </c>
      <c r="I131" s="60">
        <f>F131-D131</f>
        <v>3.6300000000000026</v>
      </c>
      <c r="J131" s="60">
        <f>F131/D131*100</f>
        <v>112.1</v>
      </c>
      <c r="K131" s="60">
        <f>F131-28.2</f>
        <v>5.430000000000003</v>
      </c>
      <c r="L131" s="138">
        <f>F131/28.2</f>
        <v>1.192553191489362</v>
      </c>
      <c r="M131" s="40">
        <f>E131-вересень!E131</f>
        <v>0.8000000000000007</v>
      </c>
      <c r="N131" s="40">
        <f>F131-вересень!F131</f>
        <v>1.7700000000000031</v>
      </c>
      <c r="O131" s="53">
        <f>N131-M131</f>
        <v>0.9700000000000024</v>
      </c>
      <c r="P131" s="60">
        <f>N131/M131*100</f>
        <v>221.25000000000023</v>
      </c>
      <c r="Q131" s="60">
        <f>N131-0.2</f>
        <v>1.5700000000000032</v>
      </c>
      <c r="R131" s="138">
        <f>N131/0.2</f>
        <v>8.850000000000016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106798.93</v>
      </c>
      <c r="F134" s="31">
        <f>F117+F131+F124+F130+F133+F132</f>
        <v>92429.70999999999</v>
      </c>
      <c r="G134" s="50">
        <f t="shared" si="43"/>
        <v>-14369.220000000001</v>
      </c>
      <c r="H134" s="51">
        <f>F134/E134*100</f>
        <v>86.54553936074079</v>
      </c>
      <c r="I134" s="36">
        <f t="shared" si="44"/>
        <v>-22360.910000000018</v>
      </c>
      <c r="J134" s="36">
        <f>F134/D134*100</f>
        <v>80.52026376371168</v>
      </c>
      <c r="K134" s="36">
        <f>F134-108511.5</f>
        <v>-16081.790000000008</v>
      </c>
      <c r="L134" s="136">
        <f>F134/108511.5</f>
        <v>0.8517964455380305</v>
      </c>
      <c r="M134" s="31">
        <f>M117+M131+M124+M130+M133+M132</f>
        <v>14123.580000000009</v>
      </c>
      <c r="N134" s="31">
        <f>N117+N131+N124+N130+N133+N132</f>
        <v>9457.289999999999</v>
      </c>
      <c r="O134" s="36">
        <f t="shared" si="45"/>
        <v>-4666.29000000001</v>
      </c>
      <c r="P134" s="36">
        <f>N134/M134*100</f>
        <v>66.96099714095146</v>
      </c>
      <c r="Q134" s="36">
        <f>N134-12149.2</f>
        <v>-2691.9100000000017</v>
      </c>
      <c r="R134" s="136">
        <f>N134/12149.2</f>
        <v>0.7784290323642707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553364.1599999999</v>
      </c>
      <c r="F135" s="31">
        <f>F107+F134</f>
        <v>511637.57999999996</v>
      </c>
      <c r="G135" s="50">
        <f t="shared" si="43"/>
        <v>-41726.57999999996</v>
      </c>
      <c r="H135" s="51">
        <f>F135/E135*100</f>
        <v>92.45947189640906</v>
      </c>
      <c r="I135" s="36">
        <f t="shared" si="44"/>
        <v>-110032.64000000001</v>
      </c>
      <c r="J135" s="36">
        <f>F135/D135*100</f>
        <v>82.30048079188995</v>
      </c>
      <c r="K135" s="36">
        <f>F135-547461.7</f>
        <v>-35824.119999999995</v>
      </c>
      <c r="L135" s="136">
        <f>F135/547461.7</f>
        <v>0.9345632397663617</v>
      </c>
      <c r="M135" s="22">
        <f>M107+M134</f>
        <v>55961.47000000003</v>
      </c>
      <c r="N135" s="22">
        <f>N107+N134</f>
        <v>29094.91999999999</v>
      </c>
      <c r="O135" s="36">
        <f t="shared" si="45"/>
        <v>-26866.55000000004</v>
      </c>
      <c r="P135" s="36">
        <f>N135/M135*100</f>
        <v>51.99098594086248</v>
      </c>
      <c r="Q135" s="36">
        <f>N135-53205.8</f>
        <v>-24110.880000000012</v>
      </c>
      <c r="R135" s="136">
        <f>N135/53205.8</f>
        <v>0.546837374872664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9</v>
      </c>
      <c r="D137" s="4" t="s">
        <v>118</v>
      </c>
    </row>
    <row r="138" spans="2:17" ht="31.5">
      <c r="B138" s="78" t="s">
        <v>154</v>
      </c>
      <c r="C138" s="39">
        <f>IF(O107&lt;0,ABS(O107/C137),0)</f>
        <v>2466.695555555559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41960</v>
      </c>
      <c r="D139" s="39">
        <v>1034.9</v>
      </c>
      <c r="N139" s="194"/>
      <c r="O139" s="194"/>
    </row>
    <row r="140" spans="3:15" ht="15.75">
      <c r="C140" s="120">
        <v>41957</v>
      </c>
      <c r="D140" s="39">
        <v>3810.9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41956</v>
      </c>
      <c r="D141" s="39">
        <v>1055.4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122760.94226000001</v>
      </c>
      <c r="E143" s="80"/>
      <c r="F143" s="100" t="s">
        <v>147</v>
      </c>
      <c r="G143" s="190" t="s">
        <v>149</v>
      </c>
      <c r="H143" s="190"/>
      <c r="I143" s="116">
        <v>113740.34573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15875.513190000001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9" right="0.18" top="0.27" bottom="0.36" header="0.17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A1">
      <pane xSplit="3" ySplit="9" topLeftCell="D1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46" sqref="J146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388759.25</v>
      </c>
      <c r="G8" s="22">
        <f aca="true" t="shared" si="0" ref="G8:G30">F8-E8</f>
        <v>-2244.3899999998976</v>
      </c>
      <c r="H8" s="51">
        <f>F8/E8*100</f>
        <v>99.42599255597725</v>
      </c>
      <c r="I8" s="36">
        <f aca="true" t="shared" si="1" ref="I8:I17">F8-D8</f>
        <v>-99717.04999999999</v>
      </c>
      <c r="J8" s="36">
        <f aca="true" t="shared" si="2" ref="J8:J14">F8/D8*100</f>
        <v>79.58610274439108</v>
      </c>
      <c r="K8" s="36">
        <f>F8-381548.5</f>
        <v>7210.75</v>
      </c>
      <c r="L8" s="136">
        <f>F8/381548.5</f>
        <v>1.0188986459126428</v>
      </c>
      <c r="M8" s="22">
        <f>M10+M19+M33+M56+M68+M30</f>
        <v>39644.799999999974</v>
      </c>
      <c r="N8" s="22">
        <f>N10+N19+N33+N56+N68+N30</f>
        <v>40469.20000000001</v>
      </c>
      <c r="O8" s="36">
        <f aca="true" t="shared" si="3" ref="O8:O71">N8-M8</f>
        <v>824.4000000000378</v>
      </c>
      <c r="P8" s="36">
        <f>F8/M8*100</f>
        <v>980.6059054403105</v>
      </c>
      <c r="Q8" s="36">
        <f>N8-37261.3</f>
        <v>3207.9000000000087</v>
      </c>
      <c r="R8" s="134">
        <f>N8/37261.3</f>
        <v>1.0860920043047346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316022.19</v>
      </c>
      <c r="G9" s="22">
        <f t="shared" si="0"/>
        <v>316022.19</v>
      </c>
      <c r="H9" s="20"/>
      <c r="I9" s="56">
        <f t="shared" si="1"/>
        <v>-70991.01000000001</v>
      </c>
      <c r="J9" s="56">
        <f t="shared" si="2"/>
        <v>81.65669543054346</v>
      </c>
      <c r="K9" s="56"/>
      <c r="L9" s="135"/>
      <c r="M9" s="20">
        <f>M10+M17</f>
        <v>32246.599999999977</v>
      </c>
      <c r="N9" s="20">
        <f>N10+N17</f>
        <v>33408.51000000001</v>
      </c>
      <c r="O9" s="36">
        <f t="shared" si="3"/>
        <v>1161.9100000000326</v>
      </c>
      <c r="P9" s="56">
        <f>F9/M9*100</f>
        <v>980.0170870727463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316022.19</v>
      </c>
      <c r="G10" s="49">
        <f t="shared" si="0"/>
        <v>-3683.9099999999744</v>
      </c>
      <c r="H10" s="40">
        <f aca="true" t="shared" si="4" ref="H10:H17">F10/E10*100</f>
        <v>98.84771982767924</v>
      </c>
      <c r="I10" s="56">
        <f t="shared" si="1"/>
        <v>-70991.01000000001</v>
      </c>
      <c r="J10" s="56">
        <f t="shared" si="2"/>
        <v>81.65669543054346</v>
      </c>
      <c r="K10" s="141">
        <f>F10-302092.5</f>
        <v>13929.690000000002</v>
      </c>
      <c r="L10" s="142">
        <f>F10/302092.5</f>
        <v>1.046110678020805</v>
      </c>
      <c r="M10" s="40">
        <f>E10-вересень!E10</f>
        <v>32246.599999999977</v>
      </c>
      <c r="N10" s="40">
        <f>F10-вересень!F10</f>
        <v>33408.51000000001</v>
      </c>
      <c r="O10" s="53">
        <f t="shared" si="3"/>
        <v>1161.9100000000326</v>
      </c>
      <c r="P10" s="56">
        <f aca="true" t="shared" si="5" ref="P10:P17">N10/M10*100</f>
        <v>103.60320157784086</v>
      </c>
      <c r="Q10" s="141">
        <f>N10-29418.1</f>
        <v>3990.4100000000108</v>
      </c>
      <c r="R10" s="142">
        <f>N10/29418.1</f>
        <v>1.1356447221268542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-880.89</v>
      </c>
      <c r="G19" s="49">
        <f t="shared" si="0"/>
        <v>-1948.4899999999998</v>
      </c>
      <c r="H19" s="40">
        <f aca="true" t="shared" si="6" ref="H19:H29">F19/E19*100</f>
        <v>-82.51124016485576</v>
      </c>
      <c r="I19" s="56">
        <f aca="true" t="shared" si="7" ref="I19:I29">F19-D19</f>
        <v>-1880.8899999999999</v>
      </c>
      <c r="J19" s="56">
        <f aca="true" t="shared" si="8" ref="J19:J29">F19/D19*100</f>
        <v>-88.089</v>
      </c>
      <c r="K19" s="167">
        <f>F19-6843.6</f>
        <v>-7724.490000000001</v>
      </c>
      <c r="L19" s="168">
        <f>F19/6843.6</f>
        <v>-0.12871734174995617</v>
      </c>
      <c r="M19" s="40">
        <f>E19-вересень!E19</f>
        <v>11</v>
      </c>
      <c r="N19" s="40">
        <f>F19-вересень!F19</f>
        <v>-476.41999999999996</v>
      </c>
      <c r="O19" s="53">
        <f t="shared" si="3"/>
        <v>-487.41999999999996</v>
      </c>
      <c r="P19" s="56">
        <f aca="true" t="shared" si="9" ref="P19:P29">N19/M19*100</f>
        <v>-4331.090909090908</v>
      </c>
      <c r="Q19" s="56">
        <f>N19-364.5</f>
        <v>-840.92</v>
      </c>
      <c r="R19" s="135">
        <f>N19/364.5</f>
        <v>-1.3070507544581618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-381.9</v>
      </c>
      <c r="G29" s="49">
        <f t="shared" si="0"/>
        <v>-1189.5</v>
      </c>
      <c r="H29" s="40">
        <f t="shared" si="6"/>
        <v>-47.28826151560178</v>
      </c>
      <c r="I29" s="56">
        <f t="shared" si="7"/>
        <v>-1311.9</v>
      </c>
      <c r="J29" s="56">
        <f t="shared" si="8"/>
        <v>-41.064516129032256</v>
      </c>
      <c r="K29" s="148">
        <f>F29-2915.3</f>
        <v>-3297.2000000000003</v>
      </c>
      <c r="L29" s="149">
        <f>F29/2915.3</f>
        <v>-0.13099852502315368</v>
      </c>
      <c r="M29" s="40">
        <f>E29-вересень!E29</f>
        <v>11</v>
      </c>
      <c r="N29" s="40">
        <f>F29-вересень!F29</f>
        <v>-477.51</v>
      </c>
      <c r="O29" s="148">
        <f t="shared" si="3"/>
        <v>-488.51</v>
      </c>
      <c r="P29" s="145">
        <f t="shared" si="9"/>
        <v>-4341</v>
      </c>
      <c r="Q29" s="148">
        <f>N29-55.3</f>
        <v>-532.81</v>
      </c>
      <c r="R29" s="149">
        <f>N29/55.3</f>
        <v>-8.63490054249548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68266.84</v>
      </c>
      <c r="G33" s="49">
        <f aca="true" t="shared" si="14" ref="G33:G72">F33-E33</f>
        <v>3731</v>
      </c>
      <c r="H33" s="40">
        <f aca="true" t="shared" si="15" ref="H33:H67">F33/E33*100</f>
        <v>105.7812837022033</v>
      </c>
      <c r="I33" s="56">
        <f>F33-D33</f>
        <v>-25299.160000000003</v>
      </c>
      <c r="J33" s="56">
        <f aca="true" t="shared" si="16" ref="J33:J72">F33/D33*100</f>
        <v>72.96116110552978</v>
      </c>
      <c r="K33" s="141">
        <f>F33-67415.8</f>
        <v>851.0399999999936</v>
      </c>
      <c r="L33" s="142">
        <f>F33/67415.8</f>
        <v>1.0126237469554613</v>
      </c>
      <c r="M33" s="40">
        <f>E33-вересень!E33</f>
        <v>6833.699999999997</v>
      </c>
      <c r="N33" s="40">
        <f>F33-вересень!F33</f>
        <v>7034.379999999997</v>
      </c>
      <c r="O33" s="53">
        <f t="shared" si="3"/>
        <v>200.6800000000003</v>
      </c>
      <c r="P33" s="56">
        <f aca="true" t="shared" si="17" ref="P33:P67">N33/M33*100</f>
        <v>102.93662291291687</v>
      </c>
      <c r="Q33" s="141">
        <f>N33-7002.6</f>
        <v>31.779999999997017</v>
      </c>
      <c r="R33" s="142">
        <f>N33/7002.6</f>
        <v>1.0045383143403874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50704.65</v>
      </c>
      <c r="G55" s="144">
        <f t="shared" si="14"/>
        <v>3299.1100000000006</v>
      </c>
      <c r="H55" s="146">
        <f t="shared" si="15"/>
        <v>106.95933428877721</v>
      </c>
      <c r="I55" s="145">
        <f t="shared" si="18"/>
        <v>-19561.35</v>
      </c>
      <c r="J55" s="145">
        <f t="shared" si="16"/>
        <v>72.16100247630433</v>
      </c>
      <c r="K55" s="148">
        <f>F55-49156.62</f>
        <v>1548.0299999999988</v>
      </c>
      <c r="L55" s="149">
        <f>F55/49156.62</f>
        <v>1.031491790932737</v>
      </c>
      <c r="M55" s="40">
        <f>E55-вересень!E55</f>
        <v>4933.700000000004</v>
      </c>
      <c r="N55" s="40">
        <f>F55-вересень!F55</f>
        <v>5283.25</v>
      </c>
      <c r="O55" s="148">
        <f t="shared" si="3"/>
        <v>349.54999999999563</v>
      </c>
      <c r="P55" s="148">
        <f t="shared" si="17"/>
        <v>107.08494638911962</v>
      </c>
      <c r="Q55" s="160">
        <f>N55-5343.11</f>
        <v>-59.85999999999967</v>
      </c>
      <c r="R55" s="161">
        <f>N55/5343.11</f>
        <v>0.9887967868900323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1.51+5344.45</f>
        <v>5345.96</v>
      </c>
      <c r="G56" s="49">
        <f t="shared" si="14"/>
        <v>-320.53999999999996</v>
      </c>
      <c r="H56" s="40">
        <f t="shared" si="15"/>
        <v>94.34324538957028</v>
      </c>
      <c r="I56" s="56">
        <f t="shared" si="18"/>
        <v>-1514.04</v>
      </c>
      <c r="J56" s="56">
        <f t="shared" si="16"/>
        <v>77.92944606413994</v>
      </c>
      <c r="K56" s="56">
        <f>F56-5173.5</f>
        <v>172.46000000000004</v>
      </c>
      <c r="L56" s="135">
        <f>F56/5173.5</f>
        <v>1.033335266260752</v>
      </c>
      <c r="M56" s="40">
        <f>E56-вересень!E56</f>
        <v>553</v>
      </c>
      <c r="N56" s="40">
        <f>F56-вересень!F56</f>
        <v>502.4299999999994</v>
      </c>
      <c r="O56" s="53">
        <f t="shared" si="3"/>
        <v>-50.57000000000062</v>
      </c>
      <c r="P56" s="56">
        <f t="shared" si="17"/>
        <v>90.85533453887874</v>
      </c>
      <c r="Q56" s="56">
        <f>N56-479</f>
        <v>23.42999999999938</v>
      </c>
      <c r="R56" s="135">
        <f>N56/479</f>
        <v>1.048914405010437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1.8</v>
      </c>
      <c r="G68" s="49">
        <f t="shared" si="14"/>
        <v>1.7</v>
      </c>
      <c r="H68" s="40"/>
      <c r="I68" s="56">
        <f t="shared" si="18"/>
        <v>1.7</v>
      </c>
      <c r="J68" s="56">
        <f t="shared" si="16"/>
        <v>1800</v>
      </c>
      <c r="K68" s="56">
        <f>F68-(-2)</f>
        <v>3.8</v>
      </c>
      <c r="L68" s="135"/>
      <c r="M68" s="40">
        <f>E68-вересень!E68</f>
        <v>0</v>
      </c>
      <c r="N68" s="40">
        <f>F68-вересень!F68</f>
        <v>0.26</v>
      </c>
      <c r="O68" s="53">
        <f t="shared" si="3"/>
        <v>0.26</v>
      </c>
      <c r="P68" s="56"/>
      <c r="Q68" s="56">
        <f>N68-(-0.3)</f>
        <v>0.56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10788.91</v>
      </c>
      <c r="G74" s="50">
        <f aca="true" t="shared" si="24" ref="G74:G92">F74-E74</f>
        <v>-2907.59</v>
      </c>
      <c r="H74" s="51">
        <f aca="true" t="shared" si="25" ref="H74:H87">F74/E74*100</f>
        <v>78.77129193589603</v>
      </c>
      <c r="I74" s="36">
        <f aca="true" t="shared" si="26" ref="I74:I92">F74-D74</f>
        <v>-7569.389999999999</v>
      </c>
      <c r="J74" s="36">
        <f aca="true" t="shared" si="27" ref="J74:J92">F74/D74*100</f>
        <v>58.76856789572019</v>
      </c>
      <c r="K74" s="36">
        <f>F74-16325.3</f>
        <v>-5536.389999999999</v>
      </c>
      <c r="L74" s="136">
        <f>F74/16325.3</f>
        <v>0.6608705506177528</v>
      </c>
      <c r="M74" s="22">
        <f>M77+M86+M88+M89+M94+M95+M96+M97+M99+M87+M104</f>
        <v>1516.5</v>
      </c>
      <c r="N74" s="22">
        <f>N77+N86+N88+N89+N94+N95+N96+N97+N99+N32+N104+N87+N103</f>
        <v>1029.4769999999994</v>
      </c>
      <c r="O74" s="55">
        <f aca="true" t="shared" si="28" ref="O74:O92">N74-M74</f>
        <v>-487.0230000000006</v>
      </c>
      <c r="P74" s="36">
        <f>N74/M74*100</f>
        <v>67.88506429277939</v>
      </c>
      <c r="Q74" s="36">
        <f>N74-1739.9</f>
        <v>-710.4230000000007</v>
      </c>
      <c r="R74" s="136">
        <f>N74/1739.9</f>
        <v>0.5916874533019135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112.45</v>
      </c>
      <c r="G89" s="49">
        <f t="shared" si="24"/>
        <v>-31.549999999999997</v>
      </c>
      <c r="H89" s="40">
        <f>F89/E89*100</f>
        <v>78.09027777777779</v>
      </c>
      <c r="I89" s="56">
        <f t="shared" si="26"/>
        <v>-62.55</v>
      </c>
      <c r="J89" s="56">
        <f t="shared" si="27"/>
        <v>64.25714285714285</v>
      </c>
      <c r="K89" s="56">
        <f>F89-137.6</f>
        <v>-25.14999999999999</v>
      </c>
      <c r="L89" s="135">
        <f>F89/137.6</f>
        <v>0.8172238372093024</v>
      </c>
      <c r="M89" s="40">
        <f>E89-вересень!E89</f>
        <v>15</v>
      </c>
      <c r="N89" s="40">
        <f>F89-вересень!F89</f>
        <v>14.5</v>
      </c>
      <c r="O89" s="53">
        <f t="shared" si="28"/>
        <v>-0.5</v>
      </c>
      <c r="P89" s="56">
        <f>N89/M89*100</f>
        <v>96.66666666666667</v>
      </c>
      <c r="Q89" s="56">
        <f>N89-14.4</f>
        <v>0.09999999999999964</v>
      </c>
      <c r="R89" s="135">
        <f>N89/14.4</f>
        <v>1.0069444444444444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865.17</v>
      </c>
      <c r="G96" s="49">
        <f t="shared" si="31"/>
        <v>-39.33000000000004</v>
      </c>
      <c r="H96" s="40">
        <f>F96/E96*100</f>
        <v>95.65174129353234</v>
      </c>
      <c r="I96" s="56">
        <f t="shared" si="32"/>
        <v>-334.83000000000004</v>
      </c>
      <c r="J96" s="56">
        <f>F96/D96*100</f>
        <v>72.0975</v>
      </c>
      <c r="K96" s="56">
        <f>F96-930</f>
        <v>-64.83000000000004</v>
      </c>
      <c r="L96" s="135">
        <f>F96/930</f>
        <v>0.9302903225806451</v>
      </c>
      <c r="M96" s="40">
        <f>E96-вересень!E96</f>
        <v>110</v>
      </c>
      <c r="N96" s="40">
        <f>F96-вересень!F96</f>
        <v>82.78999999999996</v>
      </c>
      <c r="O96" s="53">
        <f t="shared" si="33"/>
        <v>-27.210000000000036</v>
      </c>
      <c r="P96" s="56">
        <f>N96/M96*100</f>
        <v>75.26363636363634</v>
      </c>
      <c r="Q96" s="56">
        <f>N96-134.5</f>
        <v>-51.710000000000036</v>
      </c>
      <c r="R96" s="135">
        <f>N96/134.5</f>
        <v>0.6155390334572488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3446.94</v>
      </c>
      <c r="G99" s="49">
        <f t="shared" si="31"/>
        <v>109.94000000000005</v>
      </c>
      <c r="H99" s="40">
        <f>F99/E99*100</f>
        <v>103.29457596643692</v>
      </c>
      <c r="I99" s="56">
        <f t="shared" si="32"/>
        <v>-1125.7599999999998</v>
      </c>
      <c r="J99" s="56">
        <f>F99/D99*100</f>
        <v>75.38084720187199</v>
      </c>
      <c r="K99" s="56">
        <f>F99-3845.9</f>
        <v>-398.96000000000004</v>
      </c>
      <c r="L99" s="135">
        <f>F99/3845.9</f>
        <v>0.896263553394524</v>
      </c>
      <c r="M99" s="40">
        <f>E99-вересень!E99</f>
        <v>330</v>
      </c>
      <c r="N99" s="40">
        <f>F99-вересень!F99</f>
        <v>353.10699999999997</v>
      </c>
      <c r="O99" s="53">
        <f t="shared" si="33"/>
        <v>23.10699999999997</v>
      </c>
      <c r="P99" s="56">
        <f>N99/M99*100</f>
        <v>107.00212121212121</v>
      </c>
      <c r="Q99" s="56">
        <f>N99-434.7</f>
        <v>-81.59300000000002</v>
      </c>
      <c r="R99" s="135">
        <f>N99/434.7</f>
        <v>0.8123004370830458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839.3</v>
      </c>
      <c r="G102" s="144"/>
      <c r="H102" s="146"/>
      <c r="I102" s="145"/>
      <c r="J102" s="145"/>
      <c r="K102" s="148">
        <f>F102-647.5</f>
        <v>191.79999999999995</v>
      </c>
      <c r="L102" s="149">
        <f>F102/647.5</f>
        <v>1.296216216216216</v>
      </c>
      <c r="M102" s="40">
        <f>E102-вересень!E102</f>
        <v>0</v>
      </c>
      <c r="N102" s="40">
        <f>F102-вересень!F102</f>
        <v>80.89999999999998</v>
      </c>
      <c r="O102" s="53"/>
      <c r="P102" s="60"/>
      <c r="Q102" s="60">
        <f>N102-103.3</f>
        <v>-22.40000000000002</v>
      </c>
      <c r="R102" s="138">
        <f>N102/103.3</f>
        <v>0.7831558567279766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-43.79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21.71</v>
      </c>
      <c r="G105" s="49">
        <f>F105-E105</f>
        <v>-5.489999999999998</v>
      </c>
      <c r="H105" s="40">
        <f>F105/E105*100</f>
        <v>79.81617647058825</v>
      </c>
      <c r="I105" s="56">
        <f t="shared" si="34"/>
        <v>-23.29</v>
      </c>
      <c r="J105" s="56">
        <f aca="true" t="shared" si="36" ref="J105:J110">F105/D105*100</f>
        <v>48.24444444444445</v>
      </c>
      <c r="K105" s="56">
        <f>F105-17.2</f>
        <v>4.510000000000002</v>
      </c>
      <c r="L105" s="135">
        <f>F105/17.2</f>
        <v>1.2622093023255816</v>
      </c>
      <c r="M105" s="40">
        <f>E105-вересень!E105</f>
        <v>3</v>
      </c>
      <c r="N105" s="40">
        <f>F105-вересень!F105</f>
        <v>1.8100000000000023</v>
      </c>
      <c r="O105" s="53">
        <f t="shared" si="35"/>
        <v>-1.1899999999999977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399570.24</v>
      </c>
      <c r="G107" s="175">
        <f>F107-E107</f>
        <v>-5157.0999999999185</v>
      </c>
      <c r="H107" s="51">
        <f>F107/E107*100</f>
        <v>98.72578412913742</v>
      </c>
      <c r="I107" s="36">
        <f t="shared" si="34"/>
        <v>-107309.35999999999</v>
      </c>
      <c r="J107" s="36">
        <f t="shared" si="36"/>
        <v>78.82941826816467</v>
      </c>
      <c r="K107" s="36">
        <f>F107-397893.6</f>
        <v>1676.640000000014</v>
      </c>
      <c r="L107" s="136">
        <f>F107/397893.6</f>
        <v>1.0042137898171772</v>
      </c>
      <c r="M107" s="22">
        <f>M8+M74+M105+M106</f>
        <v>41164.299999999974</v>
      </c>
      <c r="N107" s="22">
        <f>N8+N74+N105+N106</f>
        <v>41500.48700000001</v>
      </c>
      <c r="O107" s="55">
        <f t="shared" si="35"/>
        <v>336.18700000003446</v>
      </c>
      <c r="P107" s="36">
        <f>N107/M107*100</f>
        <v>100.81669553472314</v>
      </c>
      <c r="Q107" s="36">
        <f>N107-39005.1</f>
        <v>2495.3870000000097</v>
      </c>
      <c r="R107" s="136">
        <f>N107/39005.1</f>
        <v>1.063975915969963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316887.36</v>
      </c>
      <c r="G108" s="153">
        <f>G10-G18+G96</f>
        <v>-3723.2399999999743</v>
      </c>
      <c r="H108" s="72">
        <f>F108/E108*100</f>
        <v>98.83870339907665</v>
      </c>
      <c r="I108" s="52">
        <f t="shared" si="34"/>
        <v>-71325.84000000003</v>
      </c>
      <c r="J108" s="52">
        <f t="shared" si="36"/>
        <v>81.62714714491933</v>
      </c>
      <c r="K108" s="52">
        <f>F108-303111.5</f>
        <v>13775.859999999986</v>
      </c>
      <c r="L108" s="137">
        <f>F108/303111.5</f>
        <v>1.0454481601654837</v>
      </c>
      <c r="M108" s="71">
        <f>M10-M18+M96</f>
        <v>32356.599999999977</v>
      </c>
      <c r="N108" s="71">
        <f>N10-N18+N96</f>
        <v>33491.30000000001</v>
      </c>
      <c r="O108" s="53">
        <f t="shared" si="35"/>
        <v>1134.7000000000335</v>
      </c>
      <c r="P108" s="52">
        <f>N108/M108*100</f>
        <v>103.50685795170085</v>
      </c>
      <c r="Q108" s="52">
        <f>N108-29552.7</f>
        <v>3938.6000000000095</v>
      </c>
      <c r="R108" s="137">
        <f>N108/29552.7</f>
        <v>1.1332737787071911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82682.88</v>
      </c>
      <c r="G109" s="176">
        <f>F109-E109</f>
        <v>-1433.8599999999278</v>
      </c>
      <c r="H109" s="72">
        <f>F109/E109*100</f>
        <v>98.29539280766238</v>
      </c>
      <c r="I109" s="52">
        <f t="shared" si="34"/>
        <v>-35983.51999999996</v>
      </c>
      <c r="J109" s="52">
        <f t="shared" si="36"/>
        <v>69.67674084660867</v>
      </c>
      <c r="K109" s="52">
        <f>F109-94782.1</f>
        <v>-12099.220000000001</v>
      </c>
      <c r="L109" s="137">
        <f>F109/94782.1</f>
        <v>0.8723469937889116</v>
      </c>
      <c r="M109" s="71">
        <f>M107-M108</f>
        <v>8807.699999999997</v>
      </c>
      <c r="N109" s="71">
        <f>N107-N108</f>
        <v>8009.186999999998</v>
      </c>
      <c r="O109" s="53">
        <f t="shared" si="35"/>
        <v>-798.512999999999</v>
      </c>
      <c r="P109" s="52">
        <f>N109/M109*100</f>
        <v>90.93392145509044</v>
      </c>
      <c r="Q109" s="52">
        <f>N109-9452.4</f>
        <v>-1443.2130000000016</v>
      </c>
      <c r="R109" s="137">
        <f>N109/9452.4</f>
        <v>0.8473178240446869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316887.36</v>
      </c>
      <c r="G110" s="111">
        <f>F110-E110</f>
        <v>1646.6599999999744</v>
      </c>
      <c r="H110" s="72">
        <f>F110/E110*100</f>
        <v>100.52235006456971</v>
      </c>
      <c r="I110" s="81">
        <f t="shared" si="34"/>
        <v>-71325.84000000003</v>
      </c>
      <c r="J110" s="52">
        <f t="shared" si="36"/>
        <v>81.62714714491933</v>
      </c>
      <c r="K110" s="52"/>
      <c r="L110" s="137"/>
      <c r="M110" s="72">
        <f>E110-вересень!E110</f>
        <v>32356.600000000035</v>
      </c>
      <c r="N110" s="71">
        <f>N108</f>
        <v>33491.30000000001</v>
      </c>
      <c r="O110" s="63">
        <f t="shared" si="35"/>
        <v>1134.6999999999753</v>
      </c>
      <c r="P110" s="52">
        <f>N110/M110*100</f>
        <v>103.50685795170065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1318.55</v>
      </c>
      <c r="G115" s="49">
        <f t="shared" si="37"/>
        <v>-1688.45</v>
      </c>
      <c r="H115" s="40">
        <f aca="true" t="shared" si="39" ref="H115:H126">F115/E115*100</f>
        <v>43.849351513136014</v>
      </c>
      <c r="I115" s="60">
        <f t="shared" si="38"/>
        <v>-2352.95</v>
      </c>
      <c r="J115" s="60">
        <f aca="true" t="shared" si="40" ref="J115:J121">F115/D115*100</f>
        <v>35.913114530845704</v>
      </c>
      <c r="K115" s="60">
        <f>F115-3128</f>
        <v>-1809.45</v>
      </c>
      <c r="L115" s="138">
        <f>F115/3128</f>
        <v>0.42153132992327363</v>
      </c>
      <c r="M115" s="40">
        <f>E115-вересень!E115</f>
        <v>327.4000000000001</v>
      </c>
      <c r="N115" s="40">
        <f>F115-вересень!F115</f>
        <v>195.6199999999999</v>
      </c>
      <c r="O115" s="53">
        <f aca="true" t="shared" si="41" ref="O115:O126">N115-M115</f>
        <v>-131.7800000000002</v>
      </c>
      <c r="P115" s="60">
        <f>N115/M115*100</f>
        <v>59.74954184483807</v>
      </c>
      <c r="Q115" s="60">
        <f>N115-50.4</f>
        <v>145.21999999999989</v>
      </c>
      <c r="R115" s="138">
        <f>N115/50.4</f>
        <v>3.881349206349204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263.25</v>
      </c>
      <c r="G116" s="49">
        <f t="shared" si="37"/>
        <v>40.75</v>
      </c>
      <c r="H116" s="40">
        <f t="shared" si="39"/>
        <v>118.31460674157303</v>
      </c>
      <c r="I116" s="60">
        <f t="shared" si="38"/>
        <v>-4.850000000000023</v>
      </c>
      <c r="J116" s="60">
        <f t="shared" si="40"/>
        <v>98.19097351734428</v>
      </c>
      <c r="K116" s="60">
        <f>F116-231.4</f>
        <v>31.849999999999994</v>
      </c>
      <c r="L116" s="138">
        <f>F116/231.4</f>
        <v>1.1376404494382022</v>
      </c>
      <c r="M116" s="40">
        <f>E116-вересень!E116</f>
        <v>22</v>
      </c>
      <c r="N116" s="40">
        <f>F116-вересень!F116</f>
        <v>26.090000000000003</v>
      </c>
      <c r="O116" s="53">
        <f t="shared" si="41"/>
        <v>4.090000000000003</v>
      </c>
      <c r="P116" s="60">
        <f>N116/M116*100</f>
        <v>118.59090909090911</v>
      </c>
      <c r="Q116" s="60">
        <f>N116-21.4</f>
        <v>4.690000000000005</v>
      </c>
      <c r="R116" s="138">
        <f>N116/21.4</f>
        <v>1.2191588785046732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1581.76</v>
      </c>
      <c r="G117" s="62">
        <f t="shared" si="37"/>
        <v>-1647.74</v>
      </c>
      <c r="H117" s="72">
        <f t="shared" si="39"/>
        <v>48.97847964081127</v>
      </c>
      <c r="I117" s="61">
        <f t="shared" si="38"/>
        <v>-2357.84</v>
      </c>
      <c r="J117" s="61">
        <f t="shared" si="40"/>
        <v>40.15026906284902</v>
      </c>
      <c r="K117" s="61">
        <f>F117-33371</f>
        <v>-31789.24</v>
      </c>
      <c r="L117" s="139">
        <f>F117/3371</f>
        <v>0.46922574903589437</v>
      </c>
      <c r="M117" s="62">
        <f>M115+M116+M114</f>
        <v>349.4000000000001</v>
      </c>
      <c r="N117" s="38">
        <f>SUM(N114:N116)</f>
        <v>221.8099999999999</v>
      </c>
      <c r="O117" s="61">
        <f t="shared" si="41"/>
        <v>-127.5900000000002</v>
      </c>
      <c r="P117" s="61">
        <f>N117/M117*100</f>
        <v>63.483113909559194</v>
      </c>
      <c r="Q117" s="61">
        <f>N117-71.8</f>
        <v>150.00999999999988</v>
      </c>
      <c r="R117" s="139">
        <f>N117/71.8</f>
        <v>3.0892757660167116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437</v>
      </c>
      <c r="G119" s="49">
        <f t="shared" si="37"/>
        <v>176.5</v>
      </c>
      <c r="H119" s="40">
        <f t="shared" si="39"/>
        <v>167.75431861804222</v>
      </c>
      <c r="I119" s="60">
        <f t="shared" si="38"/>
        <v>169.8</v>
      </c>
      <c r="J119" s="60">
        <f t="shared" si="40"/>
        <v>163.54790419161677</v>
      </c>
      <c r="K119" s="60">
        <f>F119-234.2</f>
        <v>202.8</v>
      </c>
      <c r="L119" s="138">
        <f>F119/234.2</f>
        <v>1.8659265584970113</v>
      </c>
      <c r="M119" s="40">
        <f>E119-вересень!E119</f>
        <v>73</v>
      </c>
      <c r="N119" s="40">
        <f>F119-вересень!F119</f>
        <v>122.85000000000002</v>
      </c>
      <c r="O119" s="53">
        <f>N119-M119</f>
        <v>49.85000000000002</v>
      </c>
      <c r="P119" s="60">
        <f>N119/M119*100</f>
        <v>168.28767123287673</v>
      </c>
      <c r="Q119" s="60">
        <f>N119-59.7</f>
        <v>63.15000000000002</v>
      </c>
      <c r="R119" s="138">
        <f>N119/59.7</f>
        <v>2.0577889447236184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67857.28</v>
      </c>
      <c r="G120" s="49">
        <f t="shared" si="37"/>
        <v>7844.68</v>
      </c>
      <c r="H120" s="40">
        <f t="shared" si="39"/>
        <v>113.0717216051296</v>
      </c>
      <c r="I120" s="53">
        <f t="shared" si="38"/>
        <v>-4118.710000000006</v>
      </c>
      <c r="J120" s="60">
        <f t="shared" si="40"/>
        <v>94.27766120340962</v>
      </c>
      <c r="K120" s="60">
        <f>F120-58190.1</f>
        <v>9667.18</v>
      </c>
      <c r="L120" s="138">
        <f>F120/58190.1</f>
        <v>1.1661310085392533</v>
      </c>
      <c r="M120" s="40">
        <f>E120-вересень!E120</f>
        <v>7500</v>
      </c>
      <c r="N120" s="40">
        <f>F120-вересень!F120</f>
        <v>8320.82</v>
      </c>
      <c r="O120" s="53">
        <f t="shared" si="41"/>
        <v>820.8199999999997</v>
      </c>
      <c r="P120" s="60">
        <f aca="true" t="shared" si="42" ref="P120:P125">N120/M120*100</f>
        <v>110.94426666666666</v>
      </c>
      <c r="Q120" s="60">
        <f>N120-7531</f>
        <v>789.8199999999997</v>
      </c>
      <c r="R120" s="138">
        <f>N120/7531</f>
        <v>1.1048758465011286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1754.79</v>
      </c>
      <c r="G121" s="49">
        <f t="shared" si="37"/>
        <v>-1444.6100000000001</v>
      </c>
      <c r="H121" s="40">
        <f t="shared" si="39"/>
        <v>54.847471400887656</v>
      </c>
      <c r="I121" s="60">
        <f t="shared" si="38"/>
        <v>-2995.21</v>
      </c>
      <c r="J121" s="60">
        <f t="shared" si="40"/>
        <v>36.94294736842105</v>
      </c>
      <c r="K121" s="60">
        <f>F121-1289.6</f>
        <v>465.19000000000005</v>
      </c>
      <c r="L121" s="138">
        <f>F121/1289.6</f>
        <v>1.3607242555831267</v>
      </c>
      <c r="M121" s="40">
        <f>E121-вересень!E121</f>
        <v>1476.4</v>
      </c>
      <c r="N121" s="40">
        <f>F121-вересень!F121</f>
        <v>0.05999999999994543</v>
      </c>
      <c r="O121" s="53">
        <f t="shared" si="41"/>
        <v>-1476.3400000000001</v>
      </c>
      <c r="P121" s="60">
        <f t="shared" si="42"/>
        <v>0.004063939311835914</v>
      </c>
      <c r="Q121" s="60">
        <f>N121-0</f>
        <v>0.05999999999994543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2762.1</v>
      </c>
      <c r="G122" s="49">
        <f t="shared" si="37"/>
        <v>-14814.13</v>
      </c>
      <c r="H122" s="40">
        <f t="shared" si="39"/>
        <v>15.71497414405706</v>
      </c>
      <c r="I122" s="60">
        <f t="shared" si="38"/>
        <v>-20315.030000000002</v>
      </c>
      <c r="J122" s="60">
        <f>F122/D122*100</f>
        <v>11.96899267803232</v>
      </c>
      <c r="K122" s="60">
        <f>F122-22665.8</f>
        <v>-19903.7</v>
      </c>
      <c r="L122" s="138">
        <f>F122/22665.8</f>
        <v>0.12186201237106124</v>
      </c>
      <c r="M122" s="40">
        <f>E122-вересень!E122</f>
        <v>4648.800000000001</v>
      </c>
      <c r="N122" s="40">
        <f>F122-вересень!F122</f>
        <v>368.8600000000001</v>
      </c>
      <c r="O122" s="53">
        <f t="shared" si="41"/>
        <v>-4279.9400000000005</v>
      </c>
      <c r="P122" s="60">
        <f t="shared" si="42"/>
        <v>7.934520736534161</v>
      </c>
      <c r="Q122" s="60">
        <f>N122-361.9</f>
        <v>6.96000000000015</v>
      </c>
      <c r="R122" s="138">
        <f>N122/361.9</f>
        <v>1.0192318319977898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1134.02</v>
      </c>
      <c r="G123" s="49">
        <f t="shared" si="37"/>
        <v>-486.78999999999996</v>
      </c>
      <c r="H123" s="40">
        <f t="shared" si="39"/>
        <v>69.96625144218015</v>
      </c>
      <c r="I123" s="60">
        <f t="shared" si="38"/>
        <v>-865.98</v>
      </c>
      <c r="J123" s="60">
        <f>F123/D123*100</f>
        <v>56.701</v>
      </c>
      <c r="K123" s="60">
        <f>F123-1722.8</f>
        <v>-588.78</v>
      </c>
      <c r="L123" s="138">
        <f>F123/1722.8</f>
        <v>0.6582423960993731</v>
      </c>
      <c r="M123" s="40">
        <f>E123-вересень!E123</f>
        <v>189.58999999999992</v>
      </c>
      <c r="N123" s="40">
        <f>F123-вересень!F123</f>
        <v>59.1099999999999</v>
      </c>
      <c r="O123" s="53">
        <f t="shared" si="41"/>
        <v>-130.48000000000002</v>
      </c>
      <c r="P123" s="60">
        <f t="shared" si="42"/>
        <v>31.177804736536697</v>
      </c>
      <c r="Q123" s="60">
        <f>N123-62.5</f>
        <v>-3.3900000000001</v>
      </c>
      <c r="R123" s="138">
        <f>N123/62.5</f>
        <v>0.9457599999999984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73945.19</v>
      </c>
      <c r="G124" s="62">
        <f t="shared" si="37"/>
        <v>-8724.349999999991</v>
      </c>
      <c r="H124" s="72">
        <f t="shared" si="39"/>
        <v>89.44671761812151</v>
      </c>
      <c r="I124" s="61">
        <f t="shared" si="38"/>
        <v>-28125.130000000005</v>
      </c>
      <c r="J124" s="61">
        <f>F124/D124*100</f>
        <v>72.4453396442766</v>
      </c>
      <c r="K124" s="61">
        <f>F124-84102.5</f>
        <v>-10157.309999999998</v>
      </c>
      <c r="L124" s="139">
        <f>F124/84102.5</f>
        <v>0.8792270146547368</v>
      </c>
      <c r="M124" s="62">
        <f>M120+M121+M122+M123+M119</f>
        <v>13887.79</v>
      </c>
      <c r="N124" s="62">
        <f>N120+N121+N122+N123+N119</f>
        <v>8871.7</v>
      </c>
      <c r="O124" s="61">
        <f t="shared" si="41"/>
        <v>-5016.09</v>
      </c>
      <c r="P124" s="61">
        <f t="shared" si="42"/>
        <v>63.881294288004064</v>
      </c>
      <c r="Q124" s="61">
        <f>N124-8015.1</f>
        <v>856.6000000000004</v>
      </c>
      <c r="R124" s="139">
        <f>N124/8015.1</f>
        <v>1.1068732766902472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35.01</v>
      </c>
      <c r="G125" s="49">
        <f t="shared" si="37"/>
        <v>3.849999999999998</v>
      </c>
      <c r="H125" s="40">
        <f t="shared" si="39"/>
        <v>112.3555840821566</v>
      </c>
      <c r="I125" s="60">
        <f t="shared" si="38"/>
        <v>-8.490000000000002</v>
      </c>
      <c r="J125" s="60">
        <f>F125/D125*100</f>
        <v>80.48275862068965</v>
      </c>
      <c r="K125" s="60">
        <f>F125-114</f>
        <v>-78.99000000000001</v>
      </c>
      <c r="L125" s="138">
        <f>F125/114</f>
        <v>0.3071052631578947</v>
      </c>
      <c r="M125" s="40">
        <f>E125-вересень!E125</f>
        <v>4</v>
      </c>
      <c r="N125" s="40">
        <f>F125-вересень!F125</f>
        <v>10.839999999999996</v>
      </c>
      <c r="O125" s="53">
        <f t="shared" si="41"/>
        <v>6.839999999999996</v>
      </c>
      <c r="P125" s="60">
        <f t="shared" si="42"/>
        <v>270.9999999999999</v>
      </c>
      <c r="Q125" s="60">
        <f>N125-2.2</f>
        <v>8.639999999999997</v>
      </c>
      <c r="R125" s="138">
        <f>N125/2.2</f>
        <v>4.927272727272725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7378.96</v>
      </c>
      <c r="G128" s="49">
        <f aca="true" t="shared" si="43" ref="G128:G135">F128-E128</f>
        <v>658.46</v>
      </c>
      <c r="H128" s="40">
        <f>F128/E128*100</f>
        <v>109.79778290305782</v>
      </c>
      <c r="I128" s="60">
        <f aca="true" t="shared" si="44" ref="I128:I135">F128-D128</f>
        <v>-1321.04</v>
      </c>
      <c r="J128" s="60">
        <f>F128/D128*100</f>
        <v>84.81563218390805</v>
      </c>
      <c r="K128" s="60">
        <f>F128-8728.7</f>
        <v>-1349.7400000000007</v>
      </c>
      <c r="L128" s="138">
        <f>F128/8728.7</f>
        <v>0.8453675805102706</v>
      </c>
      <c r="M128" s="40">
        <f>E128-вересень!E128</f>
        <v>2</v>
      </c>
      <c r="N128" s="40">
        <f>F128-вересень!F128</f>
        <v>10.079999999999927</v>
      </c>
      <c r="O128" s="53">
        <f aca="true" t="shared" si="45" ref="O128:O135">N128-M128</f>
        <v>8.079999999999927</v>
      </c>
      <c r="P128" s="60">
        <f>N128/M128*100</f>
        <v>503.99999999999636</v>
      </c>
      <c r="Q128" s="60">
        <f>N128-13.5</f>
        <v>-3.4200000000000728</v>
      </c>
      <c r="R128" s="162">
        <f>N128/13.5</f>
        <v>0.7466666666666613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1.29</v>
      </c>
      <c r="G129" s="49">
        <f t="shared" si="43"/>
        <v>1.29</v>
      </c>
      <c r="H129" s="40"/>
      <c r="I129" s="60">
        <f t="shared" si="44"/>
        <v>1.29</v>
      </c>
      <c r="J129" s="60"/>
      <c r="K129" s="60">
        <f>F129-1.1</f>
        <v>0.18999999999999995</v>
      </c>
      <c r="L129" s="138">
        <f>F129/1.1</f>
        <v>1.1727272727272726</v>
      </c>
      <c r="M129" s="40">
        <f>E129-вересень!E129</f>
        <v>0</v>
      </c>
      <c r="N129" s="40">
        <f>F129-вересень!F129</f>
        <v>0.20999999999999996</v>
      </c>
      <c r="O129" s="53">
        <f t="shared" si="45"/>
        <v>0.20999999999999996</v>
      </c>
      <c r="P129" s="60"/>
      <c r="Q129" s="60">
        <f>N129-0.1</f>
        <v>0.10999999999999996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7434.74</v>
      </c>
      <c r="G130" s="62">
        <f t="shared" si="43"/>
        <v>675.8800000000001</v>
      </c>
      <c r="H130" s="72">
        <f>F130/E130*100</f>
        <v>109.99991122763306</v>
      </c>
      <c r="I130" s="61">
        <f t="shared" si="44"/>
        <v>-1315.960000000001</v>
      </c>
      <c r="J130" s="61">
        <f>F130/D130*100</f>
        <v>84.96166021004034</v>
      </c>
      <c r="K130" s="61">
        <f>F130-8860.9</f>
        <v>-1426.1599999999999</v>
      </c>
      <c r="L130" s="139">
        <f>G130/8860.9</f>
        <v>0.0762766761841348</v>
      </c>
      <c r="M130" s="62">
        <f>M125+M128+M129+M127</f>
        <v>6</v>
      </c>
      <c r="N130" s="62">
        <f>N125+N128+N129+N127</f>
        <v>21.129999999999924</v>
      </c>
      <c r="O130" s="61">
        <f t="shared" si="45"/>
        <v>15.129999999999924</v>
      </c>
      <c r="P130" s="61">
        <f>N130/M130*100</f>
        <v>352.1666666666654</v>
      </c>
      <c r="Q130" s="61">
        <f>N130-24.5</f>
        <v>-3.3700000000000756</v>
      </c>
      <c r="R130" s="137">
        <f>N130/24.5</f>
        <v>0.8624489795918336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33.03</v>
      </c>
      <c r="G131" s="49">
        <f>F131-E131</f>
        <v>9.18</v>
      </c>
      <c r="H131" s="40">
        <f>F131/E131*100</f>
        <v>138.49056603773585</v>
      </c>
      <c r="I131" s="60">
        <f>F131-D131</f>
        <v>3.030000000000001</v>
      </c>
      <c r="J131" s="60">
        <f>F131/D131*100</f>
        <v>110.1</v>
      </c>
      <c r="K131" s="60">
        <f>F131-28</f>
        <v>5.030000000000001</v>
      </c>
      <c r="L131" s="138">
        <f>F131/28</f>
        <v>1.1796428571428572</v>
      </c>
      <c r="M131" s="40">
        <f>E131-вересень!E131</f>
        <v>0.40000000000000213</v>
      </c>
      <c r="N131" s="40">
        <f>F131-вересень!F131</f>
        <v>1.1700000000000017</v>
      </c>
      <c r="O131" s="53">
        <f>N131-M131</f>
        <v>0.7699999999999996</v>
      </c>
      <c r="P131" s="60">
        <f>N131/M131*100</f>
        <v>292.49999999999886</v>
      </c>
      <c r="Q131" s="60">
        <f>N131-2.6</f>
        <v>-1.4299999999999984</v>
      </c>
      <c r="R131" s="138">
        <f>N131/2.6</f>
        <v>0.4500000000000006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82994.72</v>
      </c>
      <c r="G134" s="50">
        <f t="shared" si="43"/>
        <v>-9687.029999999999</v>
      </c>
      <c r="H134" s="51">
        <f>F134/E134*100</f>
        <v>89.54807176170067</v>
      </c>
      <c r="I134" s="36">
        <f t="shared" si="44"/>
        <v>-31795.90000000001</v>
      </c>
      <c r="J134" s="36">
        <f>F134/D134*100</f>
        <v>72.30095978225398</v>
      </c>
      <c r="K134" s="36">
        <f>F134-96362.3</f>
        <v>-13367.580000000002</v>
      </c>
      <c r="L134" s="136">
        <f>F134/96362.3</f>
        <v>0.8612779064011548</v>
      </c>
      <c r="M134" s="31">
        <f>M117+M131+M124+M130+M133+M132</f>
        <v>14243.59</v>
      </c>
      <c r="N134" s="31">
        <f>N117+N131+N124+N130+N133+N132</f>
        <v>9115.81</v>
      </c>
      <c r="O134" s="36">
        <f t="shared" si="45"/>
        <v>-5127.780000000001</v>
      </c>
      <c r="P134" s="36">
        <f>N134/M134*100</f>
        <v>63.999384986509725</v>
      </c>
      <c r="Q134" s="36">
        <f>N134-8114</f>
        <v>1001.8099999999995</v>
      </c>
      <c r="R134" s="136">
        <f>N134/8114</f>
        <v>1.123466847424205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482564.95999999996</v>
      </c>
      <c r="G135" s="50">
        <f t="shared" si="43"/>
        <v>-14844.129999999946</v>
      </c>
      <c r="H135" s="51">
        <f>F135/E135*100</f>
        <v>97.01570994611298</v>
      </c>
      <c r="I135" s="36">
        <f t="shared" si="44"/>
        <v>-139105.26</v>
      </c>
      <c r="J135" s="36">
        <f>F135/D135*100</f>
        <v>77.62394666419762</v>
      </c>
      <c r="K135" s="36">
        <f>F135-494255.9</f>
        <v>-11690.94000000006</v>
      </c>
      <c r="L135" s="136">
        <f>F135/494255.9</f>
        <v>0.9763463825115692</v>
      </c>
      <c r="M135" s="22">
        <f>M107+M134</f>
        <v>55407.88999999997</v>
      </c>
      <c r="N135" s="22">
        <f>N107+N134</f>
        <v>50616.297000000006</v>
      </c>
      <c r="O135" s="36">
        <f t="shared" si="45"/>
        <v>-4791.592999999964</v>
      </c>
      <c r="P135" s="36">
        <f>N135/M135*100</f>
        <v>91.35214677909596</v>
      </c>
      <c r="Q135" s="36">
        <f>N135-47119.1</f>
        <v>3497.1970000000074</v>
      </c>
      <c r="R135" s="136">
        <f>N135/47119.1</f>
        <v>1.0742203692345569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41943</v>
      </c>
      <c r="D139" s="39">
        <v>3346.7</v>
      </c>
      <c r="N139" s="194"/>
      <c r="O139" s="194"/>
    </row>
    <row r="140" spans="3:15" ht="15.75">
      <c r="C140" s="120">
        <v>41942</v>
      </c>
      <c r="D140" s="39">
        <v>4208.5</v>
      </c>
      <c r="F140" s="4" t="s">
        <v>166</v>
      </c>
      <c r="G140" s="190" t="s">
        <v>151</v>
      </c>
      <c r="H140" s="190"/>
      <c r="I140" s="115">
        <v>9020.6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41941</v>
      </c>
      <c r="D141" s="39">
        <v>2987.3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116647.51</v>
      </c>
      <c r="E143" s="80"/>
      <c r="F143" s="100" t="s">
        <v>147</v>
      </c>
      <c r="G143" s="190" t="s">
        <v>149</v>
      </c>
      <c r="H143" s="190"/>
      <c r="I143" s="116">
        <v>107626.91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16930.7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15875.513190000001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2014-11-18T10:05:57Z</cp:lastPrinted>
  <dcterms:created xsi:type="dcterms:W3CDTF">2003-07-28T11:27:56Z</dcterms:created>
  <dcterms:modified xsi:type="dcterms:W3CDTF">2014-11-18T10:14:12Z</dcterms:modified>
  <cp:category/>
  <cp:version/>
  <cp:contentType/>
  <cp:contentStatus/>
</cp:coreProperties>
</file>